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esktop\"/>
    </mc:Choice>
  </mc:AlternateContent>
  <xr:revisionPtr revIDLastSave="0" documentId="8_{35042DBF-07F8-40C7-97AF-4826142E3A48}" xr6:coauthVersionLast="36" xr6:coauthVersionMax="36" xr10:uidLastSave="{00000000-0000-0000-0000-000000000000}"/>
  <bookViews>
    <workbookView xWindow="0" yWindow="0" windowWidth="28800" windowHeight="12225" xr2:uid="{33F9E03B-1544-4477-87AA-A4A9308FF07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8" i="1"/>
  <c r="D39" i="1"/>
  <c r="D40" i="1"/>
  <c r="D41" i="1"/>
  <c r="D42" i="1"/>
  <c r="D43" i="1"/>
  <c r="D44" i="1"/>
  <c r="D45" i="1"/>
  <c r="D46" i="1"/>
  <c r="C36" i="1"/>
  <c r="C37" i="1"/>
  <c r="C38" i="1"/>
  <c r="C39" i="1"/>
  <c r="C40" i="1"/>
  <c r="C35" i="1"/>
  <c r="D36" i="1"/>
  <c r="D67" i="1"/>
  <c r="D68" i="1"/>
  <c r="D69" i="1"/>
  <c r="D70" i="1"/>
  <c r="D71" i="1"/>
  <c r="D72" i="1"/>
  <c r="D73" i="1"/>
  <c r="D74" i="1"/>
  <c r="D75" i="1"/>
  <c r="D76" i="1"/>
  <c r="D66" i="1"/>
  <c r="C66" i="1"/>
  <c r="C67" i="1"/>
  <c r="C68" i="1"/>
  <c r="C69" i="1"/>
  <c r="C70" i="1"/>
  <c r="C65" i="1"/>
  <c r="C51" i="1"/>
  <c r="C52" i="1"/>
  <c r="C53" i="1"/>
  <c r="C54" i="1"/>
  <c r="C55" i="1"/>
  <c r="C50" i="1"/>
  <c r="D52" i="1"/>
  <c r="D53" i="1"/>
  <c r="D54" i="1"/>
  <c r="D55" i="1"/>
  <c r="D56" i="1"/>
  <c r="D57" i="1"/>
  <c r="D58" i="1"/>
  <c r="D59" i="1"/>
  <c r="D60" i="1"/>
  <c r="D61" i="1"/>
  <c r="D51" i="1"/>
  <c r="E76" i="1"/>
  <c r="E75" i="1"/>
  <c r="E74" i="1"/>
  <c r="E73" i="1"/>
  <c r="E72" i="1"/>
  <c r="E71" i="1"/>
  <c r="E70" i="1"/>
  <c r="E69" i="1"/>
  <c r="E68" i="1"/>
  <c r="E67" i="1"/>
  <c r="E66" i="1"/>
  <c r="D65" i="1"/>
  <c r="E61" i="1"/>
  <c r="E60" i="1"/>
  <c r="E59" i="1"/>
  <c r="E58" i="1"/>
  <c r="E57" i="1"/>
  <c r="E56" i="1"/>
  <c r="E55" i="1"/>
  <c r="E54" i="1"/>
  <c r="E53" i="1"/>
  <c r="E52" i="1"/>
  <c r="E51" i="1"/>
  <c r="D50" i="1"/>
  <c r="E37" i="1"/>
  <c r="E38" i="1"/>
  <c r="E39" i="1"/>
  <c r="E40" i="1"/>
  <c r="E41" i="1"/>
  <c r="E42" i="1"/>
  <c r="E43" i="1"/>
  <c r="E44" i="1"/>
  <c r="E45" i="1"/>
  <c r="E46" i="1"/>
  <c r="E36" i="1"/>
  <c r="D35" i="1"/>
  <c r="D30" i="1"/>
  <c r="D29" i="1"/>
  <c r="D28" i="1"/>
  <c r="D27" i="1"/>
  <c r="D26" i="1"/>
  <c r="D25" i="1"/>
  <c r="D24" i="1"/>
  <c r="D23" i="1"/>
  <c r="D22" i="1"/>
  <c r="D21" i="1"/>
  <c r="D20" i="1"/>
  <c r="D19" i="1"/>
  <c r="C19" i="1"/>
  <c r="C20" i="1"/>
  <c r="C21" i="1"/>
  <c r="C22" i="1"/>
  <c r="C23" i="1"/>
  <c r="C24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D77" i="1" l="1"/>
  <c r="C77" i="1"/>
  <c r="C62" i="1"/>
  <c r="D62" i="1"/>
  <c r="C47" i="1"/>
  <c r="D47" i="1"/>
  <c r="D31" i="1"/>
  <c r="C31" i="1"/>
  <c r="D8" i="1" l="1"/>
  <c r="R15" i="1" s="1"/>
  <c r="D9" i="1"/>
  <c r="D6" i="1"/>
  <c r="I20" i="1" s="1"/>
  <c r="D7" i="1"/>
  <c r="R7" i="1" l="1"/>
  <c r="R22" i="1"/>
  <c r="R16" i="1"/>
  <c r="R14" i="1"/>
  <c r="R8" i="1"/>
  <c r="R29" i="1"/>
  <c r="R10" i="1"/>
  <c r="R24" i="1"/>
  <c r="R27" i="1"/>
  <c r="R23" i="1"/>
  <c r="R9" i="1"/>
  <c r="R28" i="1"/>
  <c r="R18" i="1"/>
  <c r="R19" i="1"/>
  <c r="R17" i="1"/>
  <c r="R12" i="1"/>
  <c r="R25" i="1"/>
  <c r="R11" i="1"/>
  <c r="R6" i="1"/>
  <c r="R21" i="1"/>
  <c r="R20" i="1"/>
  <c r="R26" i="1"/>
  <c r="R13" i="1"/>
  <c r="Q7" i="1"/>
  <c r="Q11" i="1"/>
  <c r="Q15" i="1"/>
  <c r="Q19" i="1"/>
  <c r="Q23" i="1"/>
  <c r="Q27" i="1"/>
  <c r="Q9" i="1"/>
  <c r="Q17" i="1"/>
  <c r="Q25" i="1"/>
  <c r="Q10" i="1"/>
  <c r="Q18" i="1"/>
  <c r="Q26" i="1"/>
  <c r="Q8" i="1"/>
  <c r="Q12" i="1"/>
  <c r="Q16" i="1"/>
  <c r="Q20" i="1"/>
  <c r="Q24" i="1"/>
  <c r="Q28" i="1"/>
  <c r="Q13" i="1"/>
  <c r="Q21" i="1"/>
  <c r="Q29" i="1"/>
  <c r="Q14" i="1"/>
  <c r="Q22" i="1"/>
  <c r="Q6" i="1"/>
  <c r="S7" i="1"/>
  <c r="S11" i="1"/>
  <c r="S15" i="1"/>
  <c r="S19" i="1"/>
  <c r="S23" i="1"/>
  <c r="S27" i="1"/>
  <c r="S10" i="1"/>
  <c r="S18" i="1"/>
  <c r="S26" i="1"/>
  <c r="S8" i="1"/>
  <c r="S12" i="1"/>
  <c r="S16" i="1"/>
  <c r="S20" i="1"/>
  <c r="S24" i="1"/>
  <c r="S28" i="1"/>
  <c r="S14" i="1"/>
  <c r="S22" i="1"/>
  <c r="S6" i="1"/>
  <c r="S9" i="1"/>
  <c r="S13" i="1"/>
  <c r="S17" i="1"/>
  <c r="S21" i="1"/>
  <c r="S25" i="1"/>
  <c r="S29" i="1"/>
  <c r="I30" i="1"/>
  <c r="I25" i="1"/>
  <c r="I12" i="1"/>
  <c r="I24" i="1"/>
  <c r="I10" i="1"/>
  <c r="I26" i="1"/>
  <c r="I6" i="1"/>
  <c r="I19" i="1"/>
  <c r="P7" i="1"/>
  <c r="P11" i="1"/>
  <c r="P15" i="1"/>
  <c r="P19" i="1"/>
  <c r="P23" i="1"/>
  <c r="P27" i="1"/>
  <c r="P9" i="1"/>
  <c r="P17" i="1"/>
  <c r="P25" i="1"/>
  <c r="P10" i="1"/>
  <c r="P18" i="1"/>
  <c r="P6" i="1"/>
  <c r="P8" i="1"/>
  <c r="P12" i="1"/>
  <c r="P16" i="1"/>
  <c r="P20" i="1"/>
  <c r="P24" i="1"/>
  <c r="P28" i="1"/>
  <c r="P13" i="1"/>
  <c r="P21" i="1"/>
  <c r="P29" i="1"/>
  <c r="P14" i="1"/>
  <c r="P22" i="1"/>
  <c r="P26" i="1"/>
  <c r="I9" i="1"/>
  <c r="I22" i="1"/>
  <c r="I7" i="1"/>
  <c r="I27" i="1"/>
  <c r="I16" i="1"/>
  <c r="I28" i="1"/>
  <c r="I17" i="1"/>
  <c r="I14" i="1"/>
  <c r="I11" i="1"/>
  <c r="I13" i="1"/>
  <c r="I29" i="1"/>
  <c r="I15" i="1"/>
  <c r="I23" i="1"/>
  <c r="I21" i="1"/>
  <c r="I18" i="1"/>
  <c r="I8" i="1"/>
  <c r="G7" i="1"/>
  <c r="N6" i="1"/>
  <c r="B13" i="1"/>
  <c r="B14" i="1"/>
  <c r="O6" i="1"/>
  <c r="M6" i="1"/>
  <c r="N7" i="1"/>
  <c r="M7" i="1"/>
  <c r="O7" i="1"/>
  <c r="M26" i="1"/>
  <c r="N26" i="1"/>
  <c r="O26" i="1"/>
  <c r="M22" i="1"/>
  <c r="N22" i="1"/>
  <c r="O22" i="1"/>
  <c r="N18" i="1"/>
  <c r="M18" i="1"/>
  <c r="O18" i="1"/>
  <c r="N14" i="1"/>
  <c r="M14" i="1"/>
  <c r="O14" i="1"/>
  <c r="N10" i="1"/>
  <c r="M10" i="1"/>
  <c r="O10" i="1"/>
  <c r="N20" i="1"/>
  <c r="O20" i="1"/>
  <c r="M20" i="1"/>
  <c r="M12" i="1"/>
  <c r="N12" i="1"/>
  <c r="O12" i="1"/>
  <c r="O23" i="1"/>
  <c r="M23" i="1"/>
  <c r="N23" i="1"/>
  <c r="M19" i="1"/>
  <c r="O19" i="1"/>
  <c r="N19" i="1"/>
  <c r="M11" i="1"/>
  <c r="O11" i="1"/>
  <c r="N11" i="1"/>
  <c r="O29" i="1"/>
  <c r="M29" i="1"/>
  <c r="N29" i="1"/>
  <c r="O25" i="1"/>
  <c r="N25" i="1"/>
  <c r="M25" i="1"/>
  <c r="O21" i="1"/>
  <c r="M21" i="1"/>
  <c r="N21" i="1"/>
  <c r="O17" i="1"/>
  <c r="M17" i="1"/>
  <c r="N17" i="1"/>
  <c r="O13" i="1"/>
  <c r="M13" i="1"/>
  <c r="N13" i="1"/>
  <c r="O9" i="1"/>
  <c r="M9" i="1"/>
  <c r="N9" i="1"/>
  <c r="M28" i="1"/>
  <c r="O28" i="1"/>
  <c r="N28" i="1"/>
  <c r="O24" i="1"/>
  <c r="M24" i="1"/>
  <c r="N24" i="1"/>
  <c r="O16" i="1"/>
  <c r="N16" i="1"/>
  <c r="M16" i="1"/>
  <c r="M8" i="1"/>
  <c r="O8" i="1"/>
  <c r="N8" i="1"/>
  <c r="N27" i="1"/>
  <c r="M27" i="1"/>
  <c r="O27" i="1"/>
  <c r="O15" i="1"/>
  <c r="N15" i="1"/>
  <c r="M15" i="1"/>
</calcChain>
</file>

<file path=xl/sharedStrings.xml><?xml version="1.0" encoding="utf-8"?>
<sst xmlns="http://schemas.openxmlformats.org/spreadsheetml/2006/main" count="29" uniqueCount="23">
  <si>
    <t>Waffe</t>
  </si>
  <si>
    <t>Würfel</t>
  </si>
  <si>
    <t>Basis-TP</t>
  </si>
  <si>
    <t>Durchschnitt</t>
  </si>
  <si>
    <t>eigene At</t>
  </si>
  <si>
    <t>Gegner RS</t>
  </si>
  <si>
    <t>Finte I</t>
  </si>
  <si>
    <t>Finte II</t>
  </si>
  <si>
    <t>Finte III</t>
  </si>
  <si>
    <t>Wuchtschlag III</t>
  </si>
  <si>
    <t>Wuchtschlag II</t>
  </si>
  <si>
    <t>Wuchtschlag I</t>
  </si>
  <si>
    <t>dpR</t>
  </si>
  <si>
    <t>Angriff</t>
  </si>
  <si>
    <t>1W6</t>
  </si>
  <si>
    <t>2W6</t>
  </si>
  <si>
    <t>Gegner-Pa</t>
  </si>
  <si>
    <t>WS I</t>
  </si>
  <si>
    <t>WS II</t>
  </si>
  <si>
    <t>WS III</t>
  </si>
  <si>
    <t>WS1</t>
  </si>
  <si>
    <t>WS2</t>
  </si>
  <si>
    <t>WS3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</si>
</sst>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762256238316217E-2"/>
          <c:y val="2.0982355746304245E-2"/>
          <c:w val="0.95078639562907674"/>
          <c:h val="0.89431891828972021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Tabelle1!$M$5</c:f>
              <c:strCache>
                <c:ptCount val="1"/>
                <c:pt idx="0">
                  <c:v>Angriff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yVal>
            <c:numRef>
              <c:f>Tabelle1!$M$6:$M$29</c:f>
              <c:numCache>
                <c:formatCode>0.00</c:formatCode>
                <c:ptCount val="24"/>
                <c:pt idx="0">
                  <c:v>5.86625</c:v>
                </c:pt>
                <c:pt idx="1">
                  <c:v>5.5575000000000001</c:v>
                </c:pt>
                <c:pt idx="2">
                  <c:v>5.2487500000000002</c:v>
                </c:pt>
                <c:pt idx="3">
                  <c:v>4.9400000000000004</c:v>
                </c:pt>
                <c:pt idx="4">
                  <c:v>4.6312499999999996</c:v>
                </c:pt>
                <c:pt idx="5">
                  <c:v>4.3224999999999998</c:v>
                </c:pt>
                <c:pt idx="6">
                  <c:v>4.0137499999999999</c:v>
                </c:pt>
                <c:pt idx="7">
                  <c:v>3.7049999999999996</c:v>
                </c:pt>
                <c:pt idx="8">
                  <c:v>3.3962499999999998</c:v>
                </c:pt>
                <c:pt idx="9">
                  <c:v>3.0874999999999999</c:v>
                </c:pt>
                <c:pt idx="10">
                  <c:v>2.7787499999999996</c:v>
                </c:pt>
                <c:pt idx="11">
                  <c:v>2.4700000000000002</c:v>
                </c:pt>
                <c:pt idx="12">
                  <c:v>2.1612499999999999</c:v>
                </c:pt>
                <c:pt idx="13">
                  <c:v>1.8525000000000003</c:v>
                </c:pt>
                <c:pt idx="14">
                  <c:v>1.54375</c:v>
                </c:pt>
                <c:pt idx="15">
                  <c:v>1.2349999999999997</c:v>
                </c:pt>
                <c:pt idx="16">
                  <c:v>0.92625000000000013</c:v>
                </c:pt>
                <c:pt idx="17">
                  <c:v>0.61749999999999983</c:v>
                </c:pt>
                <c:pt idx="18">
                  <c:v>0.3087500000000003</c:v>
                </c:pt>
                <c:pt idx="19">
                  <c:v>0.3087500000000003</c:v>
                </c:pt>
                <c:pt idx="20">
                  <c:v>0.3087500000000003</c:v>
                </c:pt>
                <c:pt idx="21">
                  <c:v>0.3087500000000003</c:v>
                </c:pt>
                <c:pt idx="22">
                  <c:v>0.3087500000000003</c:v>
                </c:pt>
                <c:pt idx="23">
                  <c:v>0.3087500000000003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CD-477C-9588-FE259717456E}"/>
            </c:ext>
          </c:extLst>
        </c:ser>
        <c:ser>
          <c:idx val="1"/>
          <c:order val="1"/>
          <c:tx>
            <c:strRef>
              <c:f>Tabelle1!$N$5</c:f>
              <c:strCache>
                <c:ptCount val="1"/>
                <c:pt idx="0">
                  <c:v>Finte I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yVal>
            <c:numRef>
              <c:f>Tabelle1!$N$6:$N$29</c:f>
              <c:numCache>
                <c:formatCode>0.00</c:formatCode>
                <c:ptCount val="24"/>
                <c:pt idx="0">
                  <c:v>5.5575000000000001</c:v>
                </c:pt>
                <c:pt idx="1">
                  <c:v>5.5575000000000001</c:v>
                </c:pt>
                <c:pt idx="2">
                  <c:v>5.5575000000000001</c:v>
                </c:pt>
                <c:pt idx="3">
                  <c:v>5.2650000000000006</c:v>
                </c:pt>
                <c:pt idx="4">
                  <c:v>4.9725000000000001</c:v>
                </c:pt>
                <c:pt idx="5">
                  <c:v>4.6800000000000006</c:v>
                </c:pt>
                <c:pt idx="6">
                  <c:v>4.3875000000000002</c:v>
                </c:pt>
                <c:pt idx="7">
                  <c:v>4.0949999999999998</c:v>
                </c:pt>
                <c:pt idx="8">
                  <c:v>3.8025000000000007</c:v>
                </c:pt>
                <c:pt idx="9">
                  <c:v>3.5100000000000002</c:v>
                </c:pt>
                <c:pt idx="10">
                  <c:v>3.2175000000000002</c:v>
                </c:pt>
                <c:pt idx="11">
                  <c:v>2.9250000000000003</c:v>
                </c:pt>
                <c:pt idx="12">
                  <c:v>2.6324999999999998</c:v>
                </c:pt>
                <c:pt idx="13">
                  <c:v>2.3400000000000003</c:v>
                </c:pt>
                <c:pt idx="14">
                  <c:v>2.0474999999999999</c:v>
                </c:pt>
                <c:pt idx="15">
                  <c:v>1.7550000000000006</c:v>
                </c:pt>
                <c:pt idx="16">
                  <c:v>1.4625000000000001</c:v>
                </c:pt>
                <c:pt idx="17">
                  <c:v>1.1699999999999997</c:v>
                </c:pt>
                <c:pt idx="18">
                  <c:v>0.87750000000000028</c:v>
                </c:pt>
                <c:pt idx="19">
                  <c:v>0.58499999999999985</c:v>
                </c:pt>
                <c:pt idx="20">
                  <c:v>0.29250000000000026</c:v>
                </c:pt>
                <c:pt idx="21">
                  <c:v>0.29250000000000026</c:v>
                </c:pt>
                <c:pt idx="22">
                  <c:v>0.29250000000000026</c:v>
                </c:pt>
                <c:pt idx="23">
                  <c:v>0.29250000000000026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8CD-477C-9588-FE259717456E}"/>
            </c:ext>
          </c:extLst>
        </c:ser>
        <c:ser>
          <c:idx val="6"/>
          <c:order val="2"/>
          <c:tx>
            <c:strRef>
              <c:f>Tabelle1!$O$5</c:f>
              <c:strCache>
                <c:ptCount val="1"/>
                <c:pt idx="0">
                  <c:v>Finte II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yVal>
            <c:numRef>
              <c:f>Tabelle1!$O$6:$O$29</c:f>
              <c:numCache>
                <c:formatCode>0.00</c:formatCode>
                <c:ptCount val="24"/>
                <c:pt idx="0">
                  <c:v>5.2487500000000002</c:v>
                </c:pt>
                <c:pt idx="1">
                  <c:v>5.2487500000000002</c:v>
                </c:pt>
                <c:pt idx="2">
                  <c:v>5.2487500000000002</c:v>
                </c:pt>
                <c:pt idx="3">
                  <c:v>5.2487500000000002</c:v>
                </c:pt>
                <c:pt idx="4">
                  <c:v>5.2487500000000002</c:v>
                </c:pt>
                <c:pt idx="5">
                  <c:v>4.9725000000000001</c:v>
                </c:pt>
                <c:pt idx="6">
                  <c:v>4.6962499999999991</c:v>
                </c:pt>
                <c:pt idx="7">
                  <c:v>4.42</c:v>
                </c:pt>
                <c:pt idx="8">
                  <c:v>4.1437499999999998</c:v>
                </c:pt>
                <c:pt idx="9">
                  <c:v>3.8674999999999997</c:v>
                </c:pt>
                <c:pt idx="10">
                  <c:v>3.5912500000000001</c:v>
                </c:pt>
                <c:pt idx="11">
                  <c:v>3.3149999999999999</c:v>
                </c:pt>
                <c:pt idx="12">
                  <c:v>3.0387500000000003</c:v>
                </c:pt>
                <c:pt idx="13">
                  <c:v>2.7624999999999997</c:v>
                </c:pt>
                <c:pt idx="14">
                  <c:v>2.4862499999999996</c:v>
                </c:pt>
                <c:pt idx="15">
                  <c:v>2.21</c:v>
                </c:pt>
                <c:pt idx="16">
                  <c:v>1.9337499999999999</c:v>
                </c:pt>
                <c:pt idx="17">
                  <c:v>1.6575</c:v>
                </c:pt>
                <c:pt idx="18">
                  <c:v>1.3812499999999999</c:v>
                </c:pt>
                <c:pt idx="19">
                  <c:v>1.1049999999999998</c:v>
                </c:pt>
                <c:pt idx="20">
                  <c:v>0.82874999999999999</c:v>
                </c:pt>
                <c:pt idx="21">
                  <c:v>0.55249999999999988</c:v>
                </c:pt>
                <c:pt idx="22">
                  <c:v>0.27625000000000022</c:v>
                </c:pt>
                <c:pt idx="23">
                  <c:v>0.27625000000000022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8CD-477C-9588-FE259717456E}"/>
            </c:ext>
          </c:extLst>
        </c:ser>
        <c:ser>
          <c:idx val="2"/>
          <c:order val="3"/>
          <c:tx>
            <c:strRef>
              <c:f>Tabelle1!$P$5</c:f>
              <c:strCache>
                <c:ptCount val="1"/>
                <c:pt idx="0">
                  <c:v>Finte III</c:v>
                </c:pt>
              </c:strCache>
            </c:strRef>
          </c:tx>
          <c:spPr>
            <a:ln w="25400" cap="rnd">
              <a:solidFill>
                <a:srgbClr val="002060"/>
              </a:solidFill>
              <a:round/>
            </a:ln>
            <a:effectLst>
              <a:glow>
                <a:schemeClr val="accent1">
                  <a:alpha val="42000"/>
                </a:schemeClr>
              </a:glow>
            </a:effectLst>
          </c:spPr>
          <c:marker>
            <c:symbol val="none"/>
          </c:marker>
          <c:yVal>
            <c:numRef>
              <c:f>Tabelle1!$P$6:$P$29</c:f>
              <c:numCache>
                <c:formatCode>0.00</c:formatCode>
                <c:ptCount val="24"/>
                <c:pt idx="0">
                  <c:v>4.9400000000000004</c:v>
                </c:pt>
                <c:pt idx="1">
                  <c:v>4.9400000000000004</c:v>
                </c:pt>
                <c:pt idx="2">
                  <c:v>4.9400000000000004</c:v>
                </c:pt>
                <c:pt idx="3">
                  <c:v>4.9400000000000004</c:v>
                </c:pt>
                <c:pt idx="4">
                  <c:v>4.9400000000000004</c:v>
                </c:pt>
                <c:pt idx="5">
                  <c:v>4.9400000000000004</c:v>
                </c:pt>
                <c:pt idx="6">
                  <c:v>4.9400000000000004</c:v>
                </c:pt>
                <c:pt idx="7">
                  <c:v>4.6800000000000006</c:v>
                </c:pt>
                <c:pt idx="8">
                  <c:v>4.42</c:v>
                </c:pt>
                <c:pt idx="9">
                  <c:v>4.160000000000001</c:v>
                </c:pt>
                <c:pt idx="10">
                  <c:v>3.9000000000000004</c:v>
                </c:pt>
                <c:pt idx="11">
                  <c:v>3.6399999999999997</c:v>
                </c:pt>
                <c:pt idx="12">
                  <c:v>3.38</c:v>
                </c:pt>
                <c:pt idx="13">
                  <c:v>3.12</c:v>
                </c:pt>
                <c:pt idx="14">
                  <c:v>2.8600000000000003</c:v>
                </c:pt>
                <c:pt idx="15">
                  <c:v>2.6</c:v>
                </c:pt>
                <c:pt idx="16">
                  <c:v>2.34</c:v>
                </c:pt>
                <c:pt idx="17">
                  <c:v>2.0800000000000005</c:v>
                </c:pt>
                <c:pt idx="18">
                  <c:v>1.8199999999999998</c:v>
                </c:pt>
                <c:pt idx="19">
                  <c:v>1.5600000000000003</c:v>
                </c:pt>
                <c:pt idx="20">
                  <c:v>1.3</c:v>
                </c:pt>
                <c:pt idx="21">
                  <c:v>1.0399999999999998</c:v>
                </c:pt>
                <c:pt idx="22">
                  <c:v>0.78000000000000014</c:v>
                </c:pt>
                <c:pt idx="23">
                  <c:v>0.51999999999999991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8CD-477C-9588-FE259717456E}"/>
            </c:ext>
          </c:extLst>
        </c:ser>
        <c:ser>
          <c:idx val="3"/>
          <c:order val="4"/>
          <c:tx>
            <c:strRef>
              <c:f>Tabelle1!$Q$5</c:f>
              <c:strCache>
                <c:ptCount val="1"/>
                <c:pt idx="0">
                  <c:v>Wuchtschlag I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yVal>
            <c:numRef>
              <c:f>Tabelle1!$Q$6:$Q$29</c:f>
              <c:numCache>
                <c:formatCode>0.00</c:formatCode>
                <c:ptCount val="24"/>
                <c:pt idx="0">
                  <c:v>6.8637499999999996</c:v>
                </c:pt>
                <c:pt idx="1">
                  <c:v>6.5025000000000004</c:v>
                </c:pt>
                <c:pt idx="2">
                  <c:v>6.1412499999999994</c:v>
                </c:pt>
                <c:pt idx="3">
                  <c:v>5.78</c:v>
                </c:pt>
                <c:pt idx="4">
                  <c:v>5.4187499999999993</c:v>
                </c:pt>
                <c:pt idx="5">
                  <c:v>5.0575000000000001</c:v>
                </c:pt>
                <c:pt idx="6">
                  <c:v>4.69625</c:v>
                </c:pt>
                <c:pt idx="7">
                  <c:v>4.335</c:v>
                </c:pt>
                <c:pt idx="8">
                  <c:v>3.9737500000000003</c:v>
                </c:pt>
                <c:pt idx="9">
                  <c:v>3.6124999999999998</c:v>
                </c:pt>
                <c:pt idx="10">
                  <c:v>3.2512499999999998</c:v>
                </c:pt>
                <c:pt idx="11">
                  <c:v>2.89</c:v>
                </c:pt>
                <c:pt idx="12">
                  <c:v>2.5287500000000001</c:v>
                </c:pt>
                <c:pt idx="13">
                  <c:v>2.1675</c:v>
                </c:pt>
                <c:pt idx="14">
                  <c:v>1.8062499999999999</c:v>
                </c:pt>
                <c:pt idx="15">
                  <c:v>1.4449999999999996</c:v>
                </c:pt>
                <c:pt idx="16">
                  <c:v>1.08375</c:v>
                </c:pt>
                <c:pt idx="17">
                  <c:v>0.72249999999999981</c:v>
                </c:pt>
                <c:pt idx="18">
                  <c:v>0.36125000000000029</c:v>
                </c:pt>
                <c:pt idx="19">
                  <c:v>0.36125000000000029</c:v>
                </c:pt>
                <c:pt idx="20">
                  <c:v>0.36125000000000029</c:v>
                </c:pt>
                <c:pt idx="21">
                  <c:v>0.36125000000000029</c:v>
                </c:pt>
                <c:pt idx="22">
                  <c:v>0.36125000000000029</c:v>
                </c:pt>
                <c:pt idx="23">
                  <c:v>0.36125000000000029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8CD-477C-9588-FE259717456E}"/>
            </c:ext>
          </c:extLst>
        </c:ser>
        <c:ser>
          <c:idx val="4"/>
          <c:order val="5"/>
          <c:tx>
            <c:strRef>
              <c:f>Tabelle1!$R$5</c:f>
              <c:strCache>
                <c:ptCount val="1"/>
                <c:pt idx="0">
                  <c:v>Wuchtschlag II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yVal>
            <c:numRef>
              <c:f>Tabelle1!$R$6:$R$29</c:f>
              <c:numCache>
                <c:formatCode>0.00</c:formatCode>
                <c:ptCount val="24"/>
                <c:pt idx="0">
                  <c:v>7.4812499999999975</c:v>
                </c:pt>
                <c:pt idx="1">
                  <c:v>7.0874999999999995</c:v>
                </c:pt>
                <c:pt idx="2">
                  <c:v>6.6937499999999988</c:v>
                </c:pt>
                <c:pt idx="3">
                  <c:v>6.3</c:v>
                </c:pt>
                <c:pt idx="4">
                  <c:v>5.9062499999999991</c:v>
                </c:pt>
                <c:pt idx="5">
                  <c:v>5.5124999999999984</c:v>
                </c:pt>
                <c:pt idx="6">
                  <c:v>5.1187499999999995</c:v>
                </c:pt>
                <c:pt idx="7">
                  <c:v>4.7249999999999988</c:v>
                </c:pt>
                <c:pt idx="8">
                  <c:v>4.3312499999999998</c:v>
                </c:pt>
                <c:pt idx="9">
                  <c:v>3.9374999999999991</c:v>
                </c:pt>
                <c:pt idx="10">
                  <c:v>3.5437499999999988</c:v>
                </c:pt>
                <c:pt idx="11">
                  <c:v>3.15</c:v>
                </c:pt>
                <c:pt idx="12">
                  <c:v>2.7562499999999992</c:v>
                </c:pt>
                <c:pt idx="13">
                  <c:v>2.3624999999999998</c:v>
                </c:pt>
                <c:pt idx="14">
                  <c:v>1.9687499999999996</c:v>
                </c:pt>
                <c:pt idx="15">
                  <c:v>1.5749999999999993</c:v>
                </c:pt>
                <c:pt idx="16">
                  <c:v>1.1812499999999999</c:v>
                </c:pt>
                <c:pt idx="17">
                  <c:v>0.78749999999999964</c:v>
                </c:pt>
                <c:pt idx="18">
                  <c:v>0.39375000000000027</c:v>
                </c:pt>
                <c:pt idx="19">
                  <c:v>0.39375000000000027</c:v>
                </c:pt>
                <c:pt idx="20">
                  <c:v>0.39375000000000027</c:v>
                </c:pt>
                <c:pt idx="21">
                  <c:v>0.39375000000000027</c:v>
                </c:pt>
                <c:pt idx="22">
                  <c:v>0.39375000000000027</c:v>
                </c:pt>
                <c:pt idx="23">
                  <c:v>0.39375000000000027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8CD-477C-9588-FE259717456E}"/>
            </c:ext>
          </c:extLst>
        </c:ser>
        <c:ser>
          <c:idx val="5"/>
          <c:order val="6"/>
          <c:tx>
            <c:strRef>
              <c:f>Tabelle1!$S$5</c:f>
              <c:strCache>
                <c:ptCount val="1"/>
                <c:pt idx="0">
                  <c:v>Wuchtschlag III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yVal>
            <c:numRef>
              <c:f>Tabelle1!$S$6:$S$29</c:f>
              <c:numCache>
                <c:formatCode>0.00</c:formatCode>
                <c:ptCount val="24"/>
                <c:pt idx="0">
                  <c:v>7.7187499999999991</c:v>
                </c:pt>
                <c:pt idx="1">
                  <c:v>7.3125000000000009</c:v>
                </c:pt>
                <c:pt idx="2">
                  <c:v>6.90625</c:v>
                </c:pt>
                <c:pt idx="3">
                  <c:v>6.5</c:v>
                </c:pt>
                <c:pt idx="4">
                  <c:v>6.0937500000000009</c:v>
                </c:pt>
                <c:pt idx="5">
                  <c:v>5.6874999999999991</c:v>
                </c:pt>
                <c:pt idx="6">
                  <c:v>5.2812500000000009</c:v>
                </c:pt>
                <c:pt idx="7">
                  <c:v>4.875</c:v>
                </c:pt>
                <c:pt idx="8">
                  <c:v>4.4687500000000009</c:v>
                </c:pt>
                <c:pt idx="9">
                  <c:v>4.0625</c:v>
                </c:pt>
                <c:pt idx="10">
                  <c:v>3.65625</c:v>
                </c:pt>
                <c:pt idx="11">
                  <c:v>3.25</c:v>
                </c:pt>
                <c:pt idx="12">
                  <c:v>2.8437499999999996</c:v>
                </c:pt>
                <c:pt idx="13">
                  <c:v>2.4375000000000004</c:v>
                </c:pt>
                <c:pt idx="14">
                  <c:v>2.03125</c:v>
                </c:pt>
                <c:pt idx="15">
                  <c:v>1.6249999999999998</c:v>
                </c:pt>
                <c:pt idx="16">
                  <c:v>1.2187500000000002</c:v>
                </c:pt>
                <c:pt idx="17">
                  <c:v>0.81249999999999989</c:v>
                </c:pt>
                <c:pt idx="18">
                  <c:v>0.40625000000000033</c:v>
                </c:pt>
                <c:pt idx="19">
                  <c:v>0.40625000000000033</c:v>
                </c:pt>
                <c:pt idx="20">
                  <c:v>0.40625000000000033</c:v>
                </c:pt>
                <c:pt idx="21">
                  <c:v>0.40625000000000033</c:v>
                </c:pt>
                <c:pt idx="22">
                  <c:v>0.40625000000000033</c:v>
                </c:pt>
                <c:pt idx="23">
                  <c:v>0.40625000000000033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8CD-477C-9588-FE2597174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4779968"/>
        <c:axId val="1600708128"/>
      </c:scatterChart>
      <c:valAx>
        <c:axId val="1704779968"/>
        <c:scaling>
          <c:orientation val="minMax"/>
          <c:max val="2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/>
                  <a:t>Gegner-Parade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0708128"/>
        <c:crosses val="autoZero"/>
        <c:crossBetween val="midCat"/>
        <c:majorUnit val="1"/>
      </c:valAx>
      <c:valAx>
        <c:axId val="160070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/>
                  <a:t>erwarteter Schaden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04779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069082970727116E-2"/>
          <c:y val="0.560919498796556"/>
          <c:w val="0.12474173194527188"/>
          <c:h val="0.3035304277952380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468695250380239E-2"/>
          <c:y val="1.7769602572710388E-2"/>
          <c:w val="0.95078639562907674"/>
          <c:h val="0.89431891828972021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Tabelle1!$M$5</c:f>
              <c:strCache>
                <c:ptCount val="1"/>
                <c:pt idx="0">
                  <c:v>Angriff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Tabelle1!$L$10:$L$15</c:f>
              <c:numCache>
                <c:formatCode>0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xVal>
          <c:yVal>
            <c:numRef>
              <c:f>Tabelle1!$M$10:$M$15</c:f>
              <c:numCache>
                <c:formatCode>0.00</c:formatCode>
                <c:ptCount val="6"/>
                <c:pt idx="0">
                  <c:v>4.6312499999999996</c:v>
                </c:pt>
                <c:pt idx="1">
                  <c:v>4.3224999999999998</c:v>
                </c:pt>
                <c:pt idx="2">
                  <c:v>4.0137499999999999</c:v>
                </c:pt>
                <c:pt idx="3">
                  <c:v>3.7049999999999996</c:v>
                </c:pt>
                <c:pt idx="4">
                  <c:v>3.3962499999999998</c:v>
                </c:pt>
                <c:pt idx="5">
                  <c:v>3.0874999999999999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E0-4F99-85EF-21EAE82FF736}"/>
            </c:ext>
          </c:extLst>
        </c:ser>
        <c:ser>
          <c:idx val="1"/>
          <c:order val="1"/>
          <c:tx>
            <c:strRef>
              <c:f>Tabelle1!$N$5</c:f>
              <c:strCache>
                <c:ptCount val="1"/>
                <c:pt idx="0">
                  <c:v>Finte I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Tabelle1!$L$10:$L$15</c:f>
              <c:numCache>
                <c:formatCode>0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xVal>
          <c:yVal>
            <c:numRef>
              <c:f>Tabelle1!$N$10:$N$15</c:f>
              <c:numCache>
                <c:formatCode>0.00</c:formatCode>
                <c:ptCount val="6"/>
                <c:pt idx="0">
                  <c:v>4.9725000000000001</c:v>
                </c:pt>
                <c:pt idx="1">
                  <c:v>4.6800000000000006</c:v>
                </c:pt>
                <c:pt idx="2">
                  <c:v>4.3875000000000002</c:v>
                </c:pt>
                <c:pt idx="3">
                  <c:v>4.0949999999999998</c:v>
                </c:pt>
                <c:pt idx="4">
                  <c:v>3.8025000000000007</c:v>
                </c:pt>
                <c:pt idx="5">
                  <c:v>3.5100000000000002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E0-4F99-85EF-21EAE82FF736}"/>
            </c:ext>
          </c:extLst>
        </c:ser>
        <c:ser>
          <c:idx val="6"/>
          <c:order val="2"/>
          <c:tx>
            <c:strRef>
              <c:f>Tabelle1!$O$5</c:f>
              <c:strCache>
                <c:ptCount val="1"/>
                <c:pt idx="0">
                  <c:v>Finte II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Tabelle1!$L$10:$L$15</c:f>
              <c:numCache>
                <c:formatCode>0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xVal>
          <c:yVal>
            <c:numRef>
              <c:f>Tabelle1!$O$10:$O$15</c:f>
              <c:numCache>
                <c:formatCode>0.00</c:formatCode>
                <c:ptCount val="6"/>
                <c:pt idx="0">
                  <c:v>5.2487500000000002</c:v>
                </c:pt>
                <c:pt idx="1">
                  <c:v>4.9725000000000001</c:v>
                </c:pt>
                <c:pt idx="2">
                  <c:v>4.6962499999999991</c:v>
                </c:pt>
                <c:pt idx="3">
                  <c:v>4.42</c:v>
                </c:pt>
                <c:pt idx="4">
                  <c:v>4.1437499999999998</c:v>
                </c:pt>
                <c:pt idx="5">
                  <c:v>3.8674999999999997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E0-4F99-85EF-21EAE82FF736}"/>
            </c:ext>
          </c:extLst>
        </c:ser>
        <c:ser>
          <c:idx val="2"/>
          <c:order val="3"/>
          <c:tx>
            <c:strRef>
              <c:f>Tabelle1!$P$5</c:f>
              <c:strCache>
                <c:ptCount val="1"/>
                <c:pt idx="0">
                  <c:v>Finte III</c:v>
                </c:pt>
              </c:strCache>
            </c:strRef>
          </c:tx>
          <c:spPr>
            <a:ln w="25400" cap="rnd">
              <a:solidFill>
                <a:srgbClr val="002060"/>
              </a:solidFill>
              <a:round/>
            </a:ln>
            <a:effectLst>
              <a:glow>
                <a:schemeClr val="accent1">
                  <a:alpha val="42000"/>
                </a:schemeClr>
              </a:glow>
            </a:effectLst>
          </c:spPr>
          <c:marker>
            <c:symbol val="none"/>
          </c:marker>
          <c:xVal>
            <c:numRef>
              <c:f>Tabelle1!$L$10:$L$15</c:f>
              <c:numCache>
                <c:formatCode>0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xVal>
          <c:yVal>
            <c:numRef>
              <c:f>Tabelle1!$P$10:$P$15</c:f>
              <c:numCache>
                <c:formatCode>0.00</c:formatCode>
                <c:ptCount val="6"/>
                <c:pt idx="0">
                  <c:v>4.9400000000000004</c:v>
                </c:pt>
                <c:pt idx="1">
                  <c:v>4.9400000000000004</c:v>
                </c:pt>
                <c:pt idx="2">
                  <c:v>4.9400000000000004</c:v>
                </c:pt>
                <c:pt idx="3">
                  <c:v>4.6800000000000006</c:v>
                </c:pt>
                <c:pt idx="4">
                  <c:v>4.42</c:v>
                </c:pt>
                <c:pt idx="5">
                  <c:v>4.160000000000001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7E0-4F99-85EF-21EAE82FF736}"/>
            </c:ext>
          </c:extLst>
        </c:ser>
        <c:ser>
          <c:idx val="3"/>
          <c:order val="4"/>
          <c:tx>
            <c:strRef>
              <c:f>Tabelle1!$Q$5</c:f>
              <c:strCache>
                <c:ptCount val="1"/>
                <c:pt idx="0">
                  <c:v>Wuchtschlag I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Tabelle1!$L$10:$L$15</c:f>
              <c:numCache>
                <c:formatCode>0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xVal>
          <c:yVal>
            <c:numRef>
              <c:f>Tabelle1!$Q$10:$Q$15</c:f>
              <c:numCache>
                <c:formatCode>0.00</c:formatCode>
                <c:ptCount val="6"/>
                <c:pt idx="0">
                  <c:v>5.4187499999999993</c:v>
                </c:pt>
                <c:pt idx="1">
                  <c:v>5.0575000000000001</c:v>
                </c:pt>
                <c:pt idx="2">
                  <c:v>4.69625</c:v>
                </c:pt>
                <c:pt idx="3">
                  <c:v>4.335</c:v>
                </c:pt>
                <c:pt idx="4">
                  <c:v>3.9737500000000003</c:v>
                </c:pt>
                <c:pt idx="5">
                  <c:v>3.6124999999999998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7E0-4F99-85EF-21EAE82FF736}"/>
            </c:ext>
          </c:extLst>
        </c:ser>
        <c:ser>
          <c:idx val="4"/>
          <c:order val="5"/>
          <c:tx>
            <c:strRef>
              <c:f>Tabelle1!$R$5</c:f>
              <c:strCache>
                <c:ptCount val="1"/>
                <c:pt idx="0">
                  <c:v>Wuchtschlag II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Tabelle1!$L$10:$L$15</c:f>
              <c:numCache>
                <c:formatCode>0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xVal>
          <c:yVal>
            <c:numRef>
              <c:f>Tabelle1!$R$10:$R$15</c:f>
              <c:numCache>
                <c:formatCode>0.00</c:formatCode>
                <c:ptCount val="6"/>
                <c:pt idx="0">
                  <c:v>5.9062499999999991</c:v>
                </c:pt>
                <c:pt idx="1">
                  <c:v>5.5124999999999984</c:v>
                </c:pt>
                <c:pt idx="2">
                  <c:v>5.1187499999999995</c:v>
                </c:pt>
                <c:pt idx="3">
                  <c:v>4.7249999999999988</c:v>
                </c:pt>
                <c:pt idx="4">
                  <c:v>4.3312499999999998</c:v>
                </c:pt>
                <c:pt idx="5">
                  <c:v>3.9374999999999991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7E0-4F99-85EF-21EAE82FF736}"/>
            </c:ext>
          </c:extLst>
        </c:ser>
        <c:ser>
          <c:idx val="5"/>
          <c:order val="6"/>
          <c:tx>
            <c:strRef>
              <c:f>Tabelle1!$S$5</c:f>
              <c:strCache>
                <c:ptCount val="1"/>
                <c:pt idx="0">
                  <c:v>Wuchtschlag III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Tabelle1!$L$10:$L$15</c:f>
              <c:numCache>
                <c:formatCode>0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xVal>
          <c:yVal>
            <c:numRef>
              <c:f>Tabelle1!$S$10:$S$15</c:f>
              <c:numCache>
                <c:formatCode>0.00</c:formatCode>
                <c:ptCount val="6"/>
                <c:pt idx="0">
                  <c:v>6.0937500000000009</c:v>
                </c:pt>
                <c:pt idx="1">
                  <c:v>5.6874999999999991</c:v>
                </c:pt>
                <c:pt idx="2">
                  <c:v>5.2812500000000009</c:v>
                </c:pt>
                <c:pt idx="3">
                  <c:v>4.875</c:v>
                </c:pt>
                <c:pt idx="4">
                  <c:v>4.4687500000000009</c:v>
                </c:pt>
                <c:pt idx="5">
                  <c:v>4.0625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7E0-4F99-85EF-21EAE82FF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4779968"/>
        <c:axId val="1600708128"/>
      </c:scatterChart>
      <c:valAx>
        <c:axId val="1704779968"/>
        <c:scaling>
          <c:orientation val="minMax"/>
          <c:max val="10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0708128"/>
        <c:crosses val="autoZero"/>
        <c:crossBetween val="midCat"/>
        <c:majorUnit val="1"/>
      </c:valAx>
      <c:valAx>
        <c:axId val="160070812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04779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6</xdr:row>
      <xdr:rowOff>0</xdr:rowOff>
    </xdr:from>
    <xdr:to>
      <xdr:col>19</xdr:col>
      <xdr:colOff>1</xdr:colOff>
      <xdr:row>40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8FBB9A2-9B7F-4B39-B13F-AAA21B961C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638175</xdr:colOff>
      <xdr:row>6</xdr:row>
      <xdr:rowOff>133351</xdr:rowOff>
    </xdr:from>
    <xdr:to>
      <xdr:col>18</xdr:col>
      <xdr:colOff>809625</xdr:colOff>
      <xdr:row>28</xdr:row>
      <xdr:rowOff>123825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F3ED5A3-C6D2-4B25-8098-822AC71A9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685800</xdr:colOff>
      <xdr:row>2</xdr:row>
      <xdr:rowOff>85725</xdr:rowOff>
    </xdr:from>
    <xdr:to>
      <xdr:col>3</xdr:col>
      <xdr:colOff>466725</xdr:colOff>
      <xdr:row>3</xdr:row>
      <xdr:rowOff>180977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7DA47AD1-ED46-4584-BA4A-FA39FAC201CB}"/>
            </a:ext>
          </a:extLst>
        </xdr:cNvPr>
        <xdr:cNvCxnSpPr/>
      </xdr:nvCxnSpPr>
      <xdr:spPr>
        <a:xfrm flipH="1">
          <a:off x="2209800" y="466725"/>
          <a:ext cx="542925" cy="295277"/>
        </a:xfrm>
        <a:prstGeom prst="straightConnector1">
          <a:avLst/>
        </a:prstGeom>
        <a:ln w="7620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</xdr:row>
      <xdr:rowOff>28575</xdr:rowOff>
    </xdr:from>
    <xdr:to>
      <xdr:col>5</xdr:col>
      <xdr:colOff>552450</xdr:colOff>
      <xdr:row>4</xdr:row>
      <xdr:rowOff>123827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8C7C82FF-3FD7-4DD1-B9B7-E8C1F2638214}"/>
            </a:ext>
          </a:extLst>
        </xdr:cNvPr>
        <xdr:cNvCxnSpPr/>
      </xdr:nvCxnSpPr>
      <xdr:spPr>
        <a:xfrm flipH="1">
          <a:off x="3819525" y="609600"/>
          <a:ext cx="542925" cy="295277"/>
        </a:xfrm>
        <a:prstGeom prst="straightConnector1">
          <a:avLst/>
        </a:prstGeom>
        <a:ln w="7620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</xdr:row>
      <xdr:rowOff>190500</xdr:rowOff>
    </xdr:from>
    <xdr:to>
      <xdr:col>8</xdr:col>
      <xdr:colOff>542925</xdr:colOff>
      <xdr:row>4</xdr:row>
      <xdr:rowOff>85727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EC9ACF99-F062-45DE-8CB9-D7FE719217B9}"/>
            </a:ext>
          </a:extLst>
        </xdr:cNvPr>
        <xdr:cNvCxnSpPr/>
      </xdr:nvCxnSpPr>
      <xdr:spPr>
        <a:xfrm flipH="1">
          <a:off x="6096000" y="571500"/>
          <a:ext cx="542925" cy="295277"/>
        </a:xfrm>
        <a:prstGeom prst="straightConnector1">
          <a:avLst/>
        </a:prstGeom>
        <a:ln w="7620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28575</xdr:rowOff>
    </xdr:from>
    <xdr:to>
      <xdr:col>2</xdr:col>
      <xdr:colOff>171450</xdr:colOff>
      <xdr:row>1</xdr:row>
      <xdr:rowOff>118280</xdr:rowOff>
    </xdr:to>
    <xdr:sp macro="" textlink="">
      <xdr:nvSpPr>
        <xdr:cNvPr id="8" name="Textfeld 5">
          <a:extLst>
            <a:ext uri="{FF2B5EF4-FFF2-40B4-BE49-F238E27FC236}">
              <a16:creationId xmlns:a16="http://schemas.microsoft.com/office/drawing/2014/main" id="{89C4B9A5-4D43-4510-AAB7-A859D470BFE9}"/>
            </a:ext>
          </a:extLst>
        </xdr:cNvPr>
        <xdr:cNvSpPr txBox="1"/>
      </xdr:nvSpPr>
      <xdr:spPr>
        <a:xfrm>
          <a:off x="0" y="28575"/>
          <a:ext cx="1695450" cy="280205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200">
              <a:solidFill>
                <a:srgbClr val="C00000"/>
              </a:solidFill>
            </a:rPr>
            <a:t>Anzahl der W6 (nur 1-2)</a:t>
          </a:r>
        </a:p>
      </xdr:txBody>
    </xdr:sp>
    <xdr:clientData/>
  </xdr:twoCellAnchor>
  <xdr:twoCellAnchor>
    <xdr:from>
      <xdr:col>1</xdr:col>
      <xdr:colOff>228600</xdr:colOff>
      <xdr:row>1</xdr:row>
      <xdr:rowOff>76200</xdr:rowOff>
    </xdr:from>
    <xdr:to>
      <xdr:col>1</xdr:col>
      <xdr:colOff>314326</xdr:colOff>
      <xdr:row>3</xdr:row>
      <xdr:rowOff>123827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68A9325F-7143-44CE-A9F7-1307129ABE0A}"/>
            </a:ext>
          </a:extLst>
        </xdr:cNvPr>
        <xdr:cNvCxnSpPr/>
      </xdr:nvCxnSpPr>
      <xdr:spPr>
        <a:xfrm>
          <a:off x="990600" y="266700"/>
          <a:ext cx="85726" cy="438152"/>
        </a:xfrm>
        <a:prstGeom prst="straightConnector1">
          <a:avLst/>
        </a:prstGeom>
        <a:ln w="7620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0</xdr:row>
      <xdr:rowOff>123825</xdr:rowOff>
    </xdr:from>
    <xdr:to>
      <xdr:col>5</xdr:col>
      <xdr:colOff>495299</xdr:colOff>
      <xdr:row>2</xdr:row>
      <xdr:rowOff>23030</xdr:rowOff>
    </xdr:to>
    <xdr:sp macro="" textlink="">
      <xdr:nvSpPr>
        <xdr:cNvPr id="13" name="Textfeld 5">
          <a:extLst>
            <a:ext uri="{FF2B5EF4-FFF2-40B4-BE49-F238E27FC236}">
              <a16:creationId xmlns:a16="http://schemas.microsoft.com/office/drawing/2014/main" id="{A85F3C9E-8389-41A6-A815-FB2B0059AB4E}"/>
            </a:ext>
          </a:extLst>
        </xdr:cNvPr>
        <xdr:cNvSpPr txBox="1"/>
      </xdr:nvSpPr>
      <xdr:spPr>
        <a:xfrm>
          <a:off x="2333624" y="123825"/>
          <a:ext cx="1971675" cy="280205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200">
              <a:solidFill>
                <a:srgbClr val="C00000"/>
              </a:solidFill>
            </a:rPr>
            <a:t>TP der Waffe (inkl. KK/GE)</a:t>
          </a:r>
        </a:p>
      </xdr:txBody>
    </xdr:sp>
    <xdr:clientData/>
  </xdr:twoCellAnchor>
  <xdr:twoCellAnchor>
    <xdr:from>
      <xdr:col>5</xdr:col>
      <xdr:colOff>276224</xdr:colOff>
      <xdr:row>1</xdr:row>
      <xdr:rowOff>114300</xdr:rowOff>
    </xdr:from>
    <xdr:to>
      <xdr:col>6</xdr:col>
      <xdr:colOff>657225</xdr:colOff>
      <xdr:row>3</xdr:row>
      <xdr:rowOff>3980</xdr:rowOff>
    </xdr:to>
    <xdr:sp macro="" textlink="">
      <xdr:nvSpPr>
        <xdr:cNvPr id="14" name="Textfeld 5">
          <a:extLst>
            <a:ext uri="{FF2B5EF4-FFF2-40B4-BE49-F238E27FC236}">
              <a16:creationId xmlns:a16="http://schemas.microsoft.com/office/drawing/2014/main" id="{31A428ED-21B1-4F72-84CE-77D6EF7B6CC6}"/>
            </a:ext>
          </a:extLst>
        </xdr:cNvPr>
        <xdr:cNvSpPr txBox="1"/>
      </xdr:nvSpPr>
      <xdr:spPr>
        <a:xfrm>
          <a:off x="4086224" y="304800"/>
          <a:ext cx="1143001" cy="280205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200">
              <a:solidFill>
                <a:srgbClr val="C00000"/>
              </a:solidFill>
            </a:rPr>
            <a:t>RS des Gegners</a:t>
          </a:r>
        </a:p>
      </xdr:txBody>
    </xdr:sp>
    <xdr:clientData/>
  </xdr:twoCellAnchor>
  <xdr:twoCellAnchor>
    <xdr:from>
      <xdr:col>8</xdr:col>
      <xdr:colOff>381000</xdr:colOff>
      <xdr:row>1</xdr:row>
      <xdr:rowOff>28575</xdr:rowOff>
    </xdr:from>
    <xdr:to>
      <xdr:col>11</xdr:col>
      <xdr:colOff>57151</xdr:colOff>
      <xdr:row>2</xdr:row>
      <xdr:rowOff>118280</xdr:rowOff>
    </xdr:to>
    <xdr:sp macro="" textlink="">
      <xdr:nvSpPr>
        <xdr:cNvPr id="15" name="Textfeld 5">
          <a:extLst>
            <a:ext uri="{FF2B5EF4-FFF2-40B4-BE49-F238E27FC236}">
              <a16:creationId xmlns:a16="http://schemas.microsoft.com/office/drawing/2014/main" id="{882F583F-74FD-474D-8771-C769445EDE56}"/>
            </a:ext>
          </a:extLst>
        </xdr:cNvPr>
        <xdr:cNvSpPr txBox="1"/>
      </xdr:nvSpPr>
      <xdr:spPr>
        <a:xfrm>
          <a:off x="6477000" y="219075"/>
          <a:ext cx="1362076" cy="280205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200">
              <a:solidFill>
                <a:srgbClr val="C00000"/>
              </a:solidFill>
            </a:rPr>
            <a:t>eigener AT-Wert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BDAFA-38B6-4F7F-ACBF-B812D8FF61E7}">
  <dimension ref="A1:S79"/>
  <sheetViews>
    <sheetView tabSelected="1" zoomScaleNormal="100" workbookViewId="0">
      <selection activeCell="V25" sqref="V25"/>
    </sheetView>
  </sheetViews>
  <sheetFormatPr baseColWidth="10" defaultRowHeight="15" x14ac:dyDescent="0.25"/>
  <cols>
    <col min="1" max="3" width="11.42578125" style="1"/>
    <col min="4" max="4" width="11.42578125" style="3"/>
    <col min="5" max="5" width="11.42578125" style="1"/>
    <col min="6" max="7" width="11.42578125" style="3"/>
    <col min="8" max="10" width="11.42578125" style="1"/>
    <col min="11" max="11" width="2.42578125" style="1" customWidth="1"/>
    <col min="12" max="12" width="10.140625" style="1" bestFit="1" customWidth="1"/>
    <col min="13" max="13" width="12.42578125" style="1" bestFit="1" customWidth="1"/>
    <col min="14" max="16" width="11.42578125" style="1"/>
    <col min="17" max="17" width="13.28515625" style="1" bestFit="1" customWidth="1"/>
    <col min="18" max="18" width="13.85546875" style="1" bestFit="1" customWidth="1"/>
    <col min="19" max="19" width="14.42578125" style="1" bestFit="1" customWidth="1"/>
    <col min="20" max="16384" width="11.42578125" style="1"/>
  </cols>
  <sheetData>
    <row r="1" spans="1:19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15.75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15.75" thickBot="1" x14ac:dyDescent="0.3">
      <c r="B4" s="14" t="s">
        <v>0</v>
      </c>
      <c r="C4" s="15"/>
      <c r="D4" s="4"/>
      <c r="E4" s="2"/>
      <c r="F4" s="4"/>
    </row>
    <row r="5" spans="1:19" x14ac:dyDescent="0.25">
      <c r="B5" s="8" t="s">
        <v>1</v>
      </c>
      <c r="C5" s="9" t="s">
        <v>2</v>
      </c>
      <c r="D5" s="4" t="s">
        <v>3</v>
      </c>
      <c r="E5" s="12" t="s">
        <v>5</v>
      </c>
      <c r="F5" s="4"/>
      <c r="H5" s="12" t="s">
        <v>4</v>
      </c>
      <c r="I5" s="4" t="s">
        <v>12</v>
      </c>
      <c r="J5" s="3"/>
      <c r="K5" s="3"/>
      <c r="L5" s="5" t="s">
        <v>16</v>
      </c>
      <c r="M5" s="4" t="s">
        <v>13</v>
      </c>
      <c r="N5" s="4" t="s">
        <v>6</v>
      </c>
      <c r="O5" s="4" t="s">
        <v>7</v>
      </c>
      <c r="P5" s="4" t="s">
        <v>8</v>
      </c>
      <c r="Q5" s="4" t="s">
        <v>11</v>
      </c>
      <c r="R5" s="4" t="s">
        <v>10</v>
      </c>
      <c r="S5" s="4" t="s">
        <v>9</v>
      </c>
    </row>
    <row r="6" spans="1:19" s="2" customFormat="1" ht="15.75" thickBot="1" x14ac:dyDescent="0.3">
      <c r="B6" s="10">
        <v>1</v>
      </c>
      <c r="C6" s="11">
        <v>8</v>
      </c>
      <c r="D6" s="7">
        <f>IF(B6=1,C31,D31)</f>
        <v>6.5</v>
      </c>
      <c r="E6" s="13">
        <v>5</v>
      </c>
      <c r="F6" s="4"/>
      <c r="G6" s="4"/>
      <c r="H6" s="13">
        <v>19</v>
      </c>
      <c r="I6" s="3">
        <f>H6/20*$D$6</f>
        <v>6.1749999999999998</v>
      </c>
      <c r="J6" s="4"/>
      <c r="K6" s="4"/>
      <c r="L6" s="6">
        <v>1</v>
      </c>
      <c r="M6" s="5">
        <f>IF((((IF($H$6-0&lt;1,1,IF($H$6-0&gt;19,19,$H$6-0)))/20)*(1-(IF($L6-0&lt;1,1,IF($L6-0&gt;19,19,$L6-0)))/20)*($D$6+0))&lt;0,"0",((IF($H$6-0&lt;1,1,IF($H$6-0&gt;19,19,$H$6-0)))/20)*(1-(IF($L6-0&lt;1,1,IF($L6-0&gt;19,19,$L6-0)))/20)*($D$6+0))</f>
        <v>5.86625</v>
      </c>
      <c r="N6" s="5">
        <f>IF((((IF($H$6-1&lt;1,1,IF($H$6-1&gt;19,19,$H$6-1)))/20)*(1-(IF($L6-2&lt;1,1,IF($L6-2&gt;19,19,$L6-2)))/20)*($D$6+0))&lt;0,"0",((IF($H$6-1&lt;1,1,IF($H$6-1&gt;19,19,$H$6-1)))/20)*(1-(IF($L6-2&lt;1,1,IF($L6-2&gt;19,19,$L6-2)))/20)*($D$6+0))</f>
        <v>5.5575000000000001</v>
      </c>
      <c r="O6" s="5">
        <f>IF((((IF($H$6-2&lt;1,1,IF($H$6-2&gt;19,19,$H$6-2)))/20)*(1-(IF($L6-4&lt;1,1,IF($L6-4&gt;19,19,$L6-4)))/20)*($D$6+0))&lt;0,"0",((IF($H$6-2&lt;1,1,IF($H$6-2&gt;19,19,$H$6-2)))/20)*(1-(IF($L6-4&lt;1,1,IF($L6-4&gt;19,19,$L6-4)))/20)*($D$6+0))</f>
        <v>5.2487500000000002</v>
      </c>
      <c r="P6" s="5">
        <f>IF((((IF($H$6-3&lt;1,1,IF($H$6-3&gt;19,19,$H$6-3)))/20)*(1-(IF($L6-6&lt;1,1,IF($L6-6&gt;19,19,$L6-6)))/20)*($D$6+0))&lt;0,"0",((IF($H$6-3&lt;1,1,IF($H$6-3&gt;19,19,$H$6-3)))/20)*(1-(IF($L6-6&lt;1,1,IF($L6-6&gt;19,19,$L6-6)))/20)*($D$6+0))</f>
        <v>4.9400000000000004</v>
      </c>
      <c r="Q6" s="5">
        <f>IF((((IF($H$6-2&lt;1,1,IF($H$6-2&gt;19,19,$H$6-2)))/20)*(1-(IF($L6-0&lt;1,1,IF($L6-0&gt;19,19,$L6-0)))/20)*($D$7+0))&lt;0,"0",((IF($H$6-2&lt;1,1,IF($H$6-2&gt;19,19,$H$6-2)))/20)*(1-(IF($L6-0&lt;1,1,IF($L6-0&gt;19,19,$L6-0)))/20)*($D$7+0))</f>
        <v>6.8637499999999996</v>
      </c>
      <c r="R6" s="5">
        <f>IF((((IF($H$6-4&lt;1,1,IF($H$6-4&gt;19,19,$H$6-4)))/20)*(1-(IF($L6-0&lt;1,1,IF($L6-0&gt;19,19,$L6-0)))/20)*($D$8+0))&lt;0,"0",((IF($H$6-4&lt;1,1,IF($H$6-4&gt;19,19,$H$6-4)))/20)*(1-(IF($L6-0&lt;1,1,IF($L6-0&gt;19,19,$L6-0)))/20)*($D$8+0))</f>
        <v>7.4812499999999975</v>
      </c>
      <c r="S6" s="5">
        <f>IF((((IF($H$6-6&lt;1,1,IF($H$6-6&gt;19,19,$H$6-6)))/20)*(1-(IF($L6-0&lt;1,1,IF($L6-0&gt;19,19,$L6-0)))/20)*($D$9+0))&lt;0,"0",((IF($H$6-6&lt;1,1,IF($H$6-6&gt;19,19,$H$6-6)))/20)*(1-(IF($L6-0&lt;1,1,IF($L6-0&gt;19,19,$L6-0)))/20)*($D$9+0))</f>
        <v>7.7187499999999991</v>
      </c>
    </row>
    <row r="7" spans="1:19" s="3" customFormat="1" x14ac:dyDescent="0.25">
      <c r="C7" s="3" t="s">
        <v>20</v>
      </c>
      <c r="D7" s="3">
        <f>IF(B6=1,C47,D47)</f>
        <v>8.5</v>
      </c>
      <c r="G7" s="4">
        <f>IF($L$6-0&lt;1,1,IF($L$6-0&gt;19,19,$L$6-0))</f>
        <v>1</v>
      </c>
      <c r="H7" s="3">
        <v>1</v>
      </c>
      <c r="I7" s="3">
        <f t="shared" ref="I7:I30" si="0">H7/20*$D$6</f>
        <v>0.32500000000000001</v>
      </c>
      <c r="L7" s="6">
        <v>2</v>
      </c>
      <c r="M7" s="5">
        <f t="shared" ref="M7:M29" si="1">IF((((IF($H$6-0&lt;1,1,IF($H$6-0&gt;19,19,$H$6-0)))/20)*(1-(IF($L7-0&lt;1,1,IF($L7-0&gt;19,19,$L7-0)))/20)*($D$6+0))&lt;0,"0",((IF($H$6-0&lt;1,1,IF($H$6-0&gt;19,19,$H$6-0)))/20)*(1-(IF($L7-0&lt;1,1,IF($L7-0&gt;19,19,$L7-0)))/20)*($D$6+0))</f>
        <v>5.5575000000000001</v>
      </c>
      <c r="N7" s="5">
        <f t="shared" ref="N7:N29" si="2">IF((((IF($H$6-1&lt;1,1,IF($H$6-1&gt;19,19,$H$6-1)))/20)*(1-(IF($L7-2&lt;1,1,IF($L7-2&gt;19,19,$L7-2)))/20)*($D$6+0))&lt;0,"0",((IF($H$6-1&lt;1,1,IF($H$6-1&gt;19,19,$H$6-1)))/20)*(1-(IF($L7-2&lt;1,1,IF($L7-2&gt;19,19,$L7-2)))/20)*($D$6+0))</f>
        <v>5.5575000000000001</v>
      </c>
      <c r="O7" s="5">
        <f t="shared" ref="O7:O29" si="3">IF((((IF($H$6-2&lt;1,1,IF($H$6-2&gt;19,19,$H$6-2)))/20)*(1-(IF($L7-4&lt;1,1,IF($L7-4&gt;19,19,$L7-4)))/20)*($D$6+0))&lt;0,"0",((IF($H$6-2&lt;1,1,IF($H$6-2&gt;19,19,$H$6-2)))/20)*(1-(IF($L7-4&lt;1,1,IF($L7-4&gt;19,19,$L7-4)))/20)*($D$6+0))</f>
        <v>5.2487500000000002</v>
      </c>
      <c r="P7" s="5">
        <f t="shared" ref="P7:P29" si="4">IF((((IF($H$6-3&lt;1,1,IF($H$6-3&gt;19,19,$H$6-3)))/20)*(1-(IF($L7-6&lt;1,1,IF($L7-6&gt;19,19,$L7-6)))/20)*($D$6+0))&lt;0,"0",((IF($H$6-3&lt;1,1,IF($H$6-3&gt;19,19,$H$6-3)))/20)*(1-(IF($L7-6&lt;1,1,IF($L7-6&gt;19,19,$L7-6)))/20)*($D$6+0))</f>
        <v>4.9400000000000004</v>
      </c>
      <c r="Q7" s="5">
        <f t="shared" ref="Q7:Q29" si="5">IF((((IF($H$6-2&lt;1,1,IF($H$6-2&gt;19,19,$H$6-2)))/20)*(1-(IF($L7-0&lt;1,1,IF($L7-0&gt;19,19,$L7-0)))/20)*($D$7+0))&lt;0,"0",((IF($H$6-2&lt;1,1,IF($H$6-2&gt;19,19,$H$6-2)))/20)*(1-(IF($L7-0&lt;1,1,IF($L7-0&gt;19,19,$L7-0)))/20)*($D$7+0))</f>
        <v>6.5025000000000004</v>
      </c>
      <c r="R7" s="5">
        <f t="shared" ref="R7:R29" si="6">IF((((IF($H$6-4&lt;1,1,IF($H$6-4&gt;19,19,$H$6-4)))/20)*(1-(IF($L7-0&lt;1,1,IF($L7-0&gt;19,19,$L7-0)))/20)*($D$8+0))&lt;0,"0",((IF($H$6-4&lt;1,1,IF($H$6-4&gt;19,19,$H$6-4)))/20)*(1-(IF($L7-0&lt;1,1,IF($L7-0&gt;19,19,$L7-0)))/20)*($D$8+0))</f>
        <v>7.0874999999999995</v>
      </c>
      <c r="S7" s="5">
        <f t="shared" ref="S7:S29" si="7">IF((((IF($H$6-6&lt;1,1,IF($H$6-6&gt;19,19,$H$6-6)))/20)*(1-(IF($L7-0&lt;1,1,IF($L7-0&gt;19,19,$L7-0)))/20)*($D$9+0))&lt;0,"0",((IF($H$6-6&lt;1,1,IF($H$6-6&gt;19,19,$H$6-6)))/20)*(1-(IF($L7-0&lt;1,1,IF($L7-0&gt;19,19,$L7-0)))/20)*($D$9+0))</f>
        <v>7.3125000000000009</v>
      </c>
    </row>
    <row r="8" spans="1:19" s="3" customFormat="1" x14ac:dyDescent="0.25">
      <c r="C8" s="3" t="s">
        <v>21</v>
      </c>
      <c r="D8" s="3">
        <f>IF(B6=1,C62,D62)</f>
        <v>10.499999999999998</v>
      </c>
      <c r="G8" s="4">
        <f t="shared" ref="G8:G30" si="8">IF(H8&lt;1,1,IF(H8&gt;19,19,H8))</f>
        <v>2</v>
      </c>
      <c r="H8" s="3">
        <v>2</v>
      </c>
      <c r="I8" s="3">
        <f t="shared" si="0"/>
        <v>0.65</v>
      </c>
      <c r="L8" s="6">
        <v>3</v>
      </c>
      <c r="M8" s="5">
        <f t="shared" si="1"/>
        <v>5.2487500000000002</v>
      </c>
      <c r="N8" s="5">
        <f t="shared" si="2"/>
        <v>5.5575000000000001</v>
      </c>
      <c r="O8" s="5">
        <f t="shared" si="3"/>
        <v>5.2487500000000002</v>
      </c>
      <c r="P8" s="5">
        <f t="shared" si="4"/>
        <v>4.9400000000000004</v>
      </c>
      <c r="Q8" s="5">
        <f t="shared" si="5"/>
        <v>6.1412499999999994</v>
      </c>
      <c r="R8" s="5">
        <f t="shared" si="6"/>
        <v>6.6937499999999988</v>
      </c>
      <c r="S8" s="5">
        <f t="shared" si="7"/>
        <v>6.90625</v>
      </c>
    </row>
    <row r="9" spans="1:19" s="3" customFormat="1" x14ac:dyDescent="0.25">
      <c r="C9" s="3" t="s">
        <v>22</v>
      </c>
      <c r="D9" s="3">
        <f>IF(B6=1,C77,D77)</f>
        <v>12.5</v>
      </c>
      <c r="G9" s="4">
        <f t="shared" si="8"/>
        <v>3</v>
      </c>
      <c r="H9" s="3">
        <v>3</v>
      </c>
      <c r="I9" s="3">
        <f t="shared" si="0"/>
        <v>0.97499999999999998</v>
      </c>
      <c r="L9" s="6">
        <v>4</v>
      </c>
      <c r="M9" s="5">
        <f t="shared" si="1"/>
        <v>4.9400000000000004</v>
      </c>
      <c r="N9" s="5">
        <f t="shared" si="2"/>
        <v>5.2650000000000006</v>
      </c>
      <c r="O9" s="5">
        <f t="shared" si="3"/>
        <v>5.2487500000000002</v>
      </c>
      <c r="P9" s="5">
        <f t="shared" si="4"/>
        <v>4.9400000000000004</v>
      </c>
      <c r="Q9" s="5">
        <f t="shared" si="5"/>
        <v>5.78</v>
      </c>
      <c r="R9" s="5">
        <f t="shared" si="6"/>
        <v>6.3</v>
      </c>
      <c r="S9" s="5">
        <f t="shared" si="7"/>
        <v>6.5</v>
      </c>
    </row>
    <row r="10" spans="1:19" s="3" customFormat="1" x14ac:dyDescent="0.25">
      <c r="G10" s="4">
        <f t="shared" si="8"/>
        <v>4</v>
      </c>
      <c r="H10" s="3">
        <v>4</v>
      </c>
      <c r="I10" s="3">
        <f t="shared" si="0"/>
        <v>1.3</v>
      </c>
      <c r="L10" s="6">
        <v>5</v>
      </c>
      <c r="M10" s="5">
        <f t="shared" si="1"/>
        <v>4.6312499999999996</v>
      </c>
      <c r="N10" s="5">
        <f t="shared" si="2"/>
        <v>4.9725000000000001</v>
      </c>
      <c r="O10" s="5">
        <f t="shared" si="3"/>
        <v>5.2487500000000002</v>
      </c>
      <c r="P10" s="5">
        <f t="shared" si="4"/>
        <v>4.9400000000000004</v>
      </c>
      <c r="Q10" s="5">
        <f t="shared" si="5"/>
        <v>5.4187499999999993</v>
      </c>
      <c r="R10" s="5">
        <f t="shared" si="6"/>
        <v>5.9062499999999991</v>
      </c>
      <c r="S10" s="5">
        <f t="shared" si="7"/>
        <v>6.0937500000000009</v>
      </c>
    </row>
    <row r="11" spans="1:19" s="3" customFormat="1" x14ac:dyDescent="0.25">
      <c r="G11" s="4">
        <f t="shared" si="8"/>
        <v>5</v>
      </c>
      <c r="H11" s="3">
        <v>5</v>
      </c>
      <c r="I11" s="3">
        <f t="shared" si="0"/>
        <v>1.625</v>
      </c>
      <c r="L11" s="6">
        <v>6</v>
      </c>
      <c r="M11" s="5">
        <f t="shared" si="1"/>
        <v>4.3224999999999998</v>
      </c>
      <c r="N11" s="5">
        <f t="shared" si="2"/>
        <v>4.6800000000000006</v>
      </c>
      <c r="O11" s="5">
        <f t="shared" si="3"/>
        <v>4.9725000000000001</v>
      </c>
      <c r="P11" s="5">
        <f t="shared" si="4"/>
        <v>4.9400000000000004</v>
      </c>
      <c r="Q11" s="5">
        <f t="shared" si="5"/>
        <v>5.0575000000000001</v>
      </c>
      <c r="R11" s="5">
        <f t="shared" si="6"/>
        <v>5.5124999999999984</v>
      </c>
      <c r="S11" s="5">
        <f t="shared" si="7"/>
        <v>5.6874999999999991</v>
      </c>
    </row>
    <row r="12" spans="1:19" s="3" customFormat="1" x14ac:dyDescent="0.25">
      <c r="G12" s="4">
        <f t="shared" si="8"/>
        <v>6</v>
      </c>
      <c r="H12" s="3">
        <v>6</v>
      </c>
      <c r="I12" s="3">
        <f t="shared" si="0"/>
        <v>1.95</v>
      </c>
      <c r="L12" s="6">
        <v>7</v>
      </c>
      <c r="M12" s="5">
        <f t="shared" si="1"/>
        <v>4.0137499999999999</v>
      </c>
      <c r="N12" s="5">
        <f t="shared" si="2"/>
        <v>4.3875000000000002</v>
      </c>
      <c r="O12" s="5">
        <f t="shared" si="3"/>
        <v>4.6962499999999991</v>
      </c>
      <c r="P12" s="5">
        <f t="shared" si="4"/>
        <v>4.9400000000000004</v>
      </c>
      <c r="Q12" s="5">
        <f t="shared" si="5"/>
        <v>4.69625</v>
      </c>
      <c r="R12" s="5">
        <f t="shared" si="6"/>
        <v>5.1187499999999995</v>
      </c>
      <c r="S12" s="5">
        <f t="shared" si="7"/>
        <v>5.2812500000000009</v>
      </c>
    </row>
    <row r="13" spans="1:19" s="3" customFormat="1" x14ac:dyDescent="0.25">
      <c r="B13" s="3">
        <f>($H$6/20)*(1-$L6/20)*($D$6-$E$6)</f>
        <v>1.35375</v>
      </c>
      <c r="G13" s="4">
        <f t="shared" si="8"/>
        <v>7</v>
      </c>
      <c r="H13" s="3">
        <v>7</v>
      </c>
      <c r="I13" s="3">
        <f t="shared" si="0"/>
        <v>2.2749999999999999</v>
      </c>
      <c r="L13" s="6">
        <v>8</v>
      </c>
      <c r="M13" s="5">
        <f t="shared" si="1"/>
        <v>3.7049999999999996</v>
      </c>
      <c r="N13" s="5">
        <f t="shared" si="2"/>
        <v>4.0949999999999998</v>
      </c>
      <c r="O13" s="5">
        <f t="shared" si="3"/>
        <v>4.42</v>
      </c>
      <c r="P13" s="5">
        <f t="shared" si="4"/>
        <v>4.6800000000000006</v>
      </c>
      <c r="Q13" s="5">
        <f t="shared" si="5"/>
        <v>4.335</v>
      </c>
      <c r="R13" s="5">
        <f t="shared" si="6"/>
        <v>4.7249999999999988</v>
      </c>
      <c r="S13" s="5">
        <f t="shared" si="7"/>
        <v>4.875</v>
      </c>
    </row>
    <row r="14" spans="1:19" s="3" customFormat="1" x14ac:dyDescent="0.25">
      <c r="B14" s="3">
        <f>IF(((($H$6-0)/20)*(1-($L6-0)/20)*($D$6-$E$6+0))&lt;0,"0",(($H$6-0)/20)*(1-($L6-0)/20)*($D$6-$E$6+0))</f>
        <v>1.35375</v>
      </c>
      <c r="G14" s="4">
        <f t="shared" si="8"/>
        <v>8</v>
      </c>
      <c r="H14" s="3">
        <v>8</v>
      </c>
      <c r="I14" s="3">
        <f t="shared" si="0"/>
        <v>2.6</v>
      </c>
      <c r="L14" s="6">
        <v>9</v>
      </c>
      <c r="M14" s="5">
        <f t="shared" si="1"/>
        <v>3.3962499999999998</v>
      </c>
      <c r="N14" s="5">
        <f t="shared" si="2"/>
        <v>3.8025000000000007</v>
      </c>
      <c r="O14" s="5">
        <f t="shared" si="3"/>
        <v>4.1437499999999998</v>
      </c>
      <c r="P14" s="5">
        <f t="shared" si="4"/>
        <v>4.42</v>
      </c>
      <c r="Q14" s="5">
        <f t="shared" si="5"/>
        <v>3.9737500000000003</v>
      </c>
      <c r="R14" s="5">
        <f t="shared" si="6"/>
        <v>4.3312499999999998</v>
      </c>
      <c r="S14" s="5">
        <f t="shared" si="7"/>
        <v>4.4687500000000009</v>
      </c>
    </row>
    <row r="15" spans="1:19" s="3" customFormat="1" x14ac:dyDescent="0.25">
      <c r="G15" s="4">
        <f t="shared" si="8"/>
        <v>9</v>
      </c>
      <c r="H15" s="3">
        <v>9</v>
      </c>
      <c r="I15" s="3">
        <f t="shared" si="0"/>
        <v>2.9250000000000003</v>
      </c>
      <c r="L15" s="6">
        <v>10</v>
      </c>
      <c r="M15" s="5">
        <f t="shared" si="1"/>
        <v>3.0874999999999999</v>
      </c>
      <c r="N15" s="5">
        <f t="shared" si="2"/>
        <v>3.5100000000000002</v>
      </c>
      <c r="O15" s="5">
        <f t="shared" si="3"/>
        <v>3.8674999999999997</v>
      </c>
      <c r="P15" s="5">
        <f t="shared" si="4"/>
        <v>4.160000000000001</v>
      </c>
      <c r="Q15" s="5">
        <f t="shared" si="5"/>
        <v>3.6124999999999998</v>
      </c>
      <c r="R15" s="5">
        <f t="shared" si="6"/>
        <v>3.9374999999999991</v>
      </c>
      <c r="S15" s="5">
        <f t="shared" si="7"/>
        <v>4.0625</v>
      </c>
    </row>
    <row r="16" spans="1:19" s="3" customFormat="1" x14ac:dyDescent="0.25">
      <c r="G16" s="4">
        <f t="shared" si="8"/>
        <v>10</v>
      </c>
      <c r="H16" s="3">
        <v>10</v>
      </c>
      <c r="I16" s="3">
        <f t="shared" si="0"/>
        <v>3.25</v>
      </c>
      <c r="L16" s="6">
        <v>11</v>
      </c>
      <c r="M16" s="5">
        <f t="shared" si="1"/>
        <v>2.7787499999999996</v>
      </c>
      <c r="N16" s="5">
        <f t="shared" si="2"/>
        <v>3.2175000000000002</v>
      </c>
      <c r="O16" s="5">
        <f t="shared" si="3"/>
        <v>3.5912500000000001</v>
      </c>
      <c r="P16" s="5">
        <f t="shared" si="4"/>
        <v>3.9000000000000004</v>
      </c>
      <c r="Q16" s="5">
        <f t="shared" si="5"/>
        <v>3.2512499999999998</v>
      </c>
      <c r="R16" s="5">
        <f t="shared" si="6"/>
        <v>3.5437499999999988</v>
      </c>
      <c r="S16" s="5">
        <f t="shared" si="7"/>
        <v>3.65625</v>
      </c>
    </row>
    <row r="17" spans="2:19" s="3" customFormat="1" x14ac:dyDescent="0.25">
      <c r="G17" s="4">
        <f t="shared" si="8"/>
        <v>11</v>
      </c>
      <c r="H17" s="3">
        <v>11</v>
      </c>
      <c r="I17" s="3">
        <f t="shared" si="0"/>
        <v>3.5750000000000002</v>
      </c>
      <c r="L17" s="6">
        <v>12</v>
      </c>
      <c r="M17" s="5">
        <f t="shared" si="1"/>
        <v>2.4700000000000002</v>
      </c>
      <c r="N17" s="5">
        <f t="shared" si="2"/>
        <v>2.9250000000000003</v>
      </c>
      <c r="O17" s="5">
        <f t="shared" si="3"/>
        <v>3.3149999999999999</v>
      </c>
      <c r="P17" s="5">
        <f t="shared" si="4"/>
        <v>3.6399999999999997</v>
      </c>
      <c r="Q17" s="5">
        <f t="shared" si="5"/>
        <v>2.89</v>
      </c>
      <c r="R17" s="5">
        <f t="shared" si="6"/>
        <v>3.15</v>
      </c>
      <c r="S17" s="5">
        <f t="shared" si="7"/>
        <v>3.25</v>
      </c>
    </row>
    <row r="18" spans="2:19" s="3" customFormat="1" x14ac:dyDescent="0.25">
      <c r="C18" s="4" t="s">
        <v>14</v>
      </c>
      <c r="D18" s="4" t="s">
        <v>15</v>
      </c>
      <c r="G18" s="4">
        <f t="shared" si="8"/>
        <v>12</v>
      </c>
      <c r="H18" s="3">
        <v>12</v>
      </c>
      <c r="I18" s="3">
        <f t="shared" si="0"/>
        <v>3.9</v>
      </c>
      <c r="L18" s="6">
        <v>13</v>
      </c>
      <c r="M18" s="5">
        <f t="shared" si="1"/>
        <v>2.1612499999999999</v>
      </c>
      <c r="N18" s="5">
        <f t="shared" si="2"/>
        <v>2.6324999999999998</v>
      </c>
      <c r="O18" s="5">
        <f t="shared" si="3"/>
        <v>3.0387500000000003</v>
      </c>
      <c r="P18" s="5">
        <f t="shared" si="4"/>
        <v>3.38</v>
      </c>
      <c r="Q18" s="5">
        <f t="shared" si="5"/>
        <v>2.5287500000000001</v>
      </c>
      <c r="R18" s="5">
        <f t="shared" si="6"/>
        <v>2.7562499999999992</v>
      </c>
      <c r="S18" s="5">
        <f t="shared" si="7"/>
        <v>2.8437499999999996</v>
      </c>
    </row>
    <row r="19" spans="2:19" s="3" customFormat="1" x14ac:dyDescent="0.25">
      <c r="B19" s="3">
        <v>1</v>
      </c>
      <c r="C19" s="3">
        <f>IF((B19+$C$6)-$E$6&lt;0,0,B19+$C$6-$E$6)*1/6</f>
        <v>0.66666666666666663</v>
      </c>
      <c r="D19" s="3">
        <f>IF((B19+$C$6)-$E$6&lt;0,0,B19+$C$6-$E$6)*0</f>
        <v>0</v>
      </c>
      <c r="G19" s="4">
        <f t="shared" si="8"/>
        <v>13</v>
      </c>
      <c r="H19" s="3">
        <v>13</v>
      </c>
      <c r="I19" s="3">
        <f t="shared" si="0"/>
        <v>4.2250000000000005</v>
      </c>
      <c r="L19" s="6">
        <v>14</v>
      </c>
      <c r="M19" s="5">
        <f t="shared" si="1"/>
        <v>1.8525000000000003</v>
      </c>
      <c r="N19" s="5">
        <f t="shared" si="2"/>
        <v>2.3400000000000003</v>
      </c>
      <c r="O19" s="5">
        <f t="shared" si="3"/>
        <v>2.7624999999999997</v>
      </c>
      <c r="P19" s="5">
        <f t="shared" si="4"/>
        <v>3.12</v>
      </c>
      <c r="Q19" s="5">
        <f t="shared" si="5"/>
        <v>2.1675</v>
      </c>
      <c r="R19" s="5">
        <f t="shared" si="6"/>
        <v>2.3624999999999998</v>
      </c>
      <c r="S19" s="5">
        <f t="shared" si="7"/>
        <v>2.4375000000000004</v>
      </c>
    </row>
    <row r="20" spans="2:19" s="3" customFormat="1" x14ac:dyDescent="0.25">
      <c r="B20" s="3">
        <v>2</v>
      </c>
      <c r="C20" s="3">
        <f t="shared" ref="C20:C24" si="9">IF((B20+$C$6)-$E$6&lt;0,0,B20+$C$6-$E$6)*1/6</f>
        <v>0.83333333333333337</v>
      </c>
      <c r="D20" s="3">
        <f>IF((B20+$C$6)-$E$6&lt;0,0,B20+$C$6-$E$6)*1/36</f>
        <v>0.1388888888888889</v>
      </c>
      <c r="G20" s="4">
        <f t="shared" si="8"/>
        <v>14</v>
      </c>
      <c r="H20" s="3">
        <v>14</v>
      </c>
      <c r="I20" s="3">
        <f t="shared" si="0"/>
        <v>4.55</v>
      </c>
      <c r="L20" s="6">
        <v>15</v>
      </c>
      <c r="M20" s="5">
        <f t="shared" si="1"/>
        <v>1.54375</v>
      </c>
      <c r="N20" s="5">
        <f t="shared" si="2"/>
        <v>2.0474999999999999</v>
      </c>
      <c r="O20" s="5">
        <f t="shared" si="3"/>
        <v>2.4862499999999996</v>
      </c>
      <c r="P20" s="5">
        <f t="shared" si="4"/>
        <v>2.8600000000000003</v>
      </c>
      <c r="Q20" s="5">
        <f t="shared" si="5"/>
        <v>1.8062499999999999</v>
      </c>
      <c r="R20" s="5">
        <f t="shared" si="6"/>
        <v>1.9687499999999996</v>
      </c>
      <c r="S20" s="5">
        <f t="shared" si="7"/>
        <v>2.03125</v>
      </c>
    </row>
    <row r="21" spans="2:19" s="3" customFormat="1" x14ac:dyDescent="0.25">
      <c r="B21" s="3">
        <v>3</v>
      </c>
      <c r="C21" s="3">
        <f t="shared" si="9"/>
        <v>1</v>
      </c>
      <c r="D21" s="3">
        <f>IF((B21+$C$6)-$E$6&lt;0,0,B21+$C$6-$E$6)*2/36</f>
        <v>0.33333333333333331</v>
      </c>
      <c r="G21" s="4">
        <f t="shared" si="8"/>
        <v>15</v>
      </c>
      <c r="H21" s="3">
        <v>15</v>
      </c>
      <c r="I21" s="3">
        <f t="shared" si="0"/>
        <v>4.875</v>
      </c>
      <c r="L21" s="6">
        <v>16</v>
      </c>
      <c r="M21" s="5">
        <f t="shared" si="1"/>
        <v>1.2349999999999997</v>
      </c>
      <c r="N21" s="5">
        <f t="shared" si="2"/>
        <v>1.7550000000000006</v>
      </c>
      <c r="O21" s="5">
        <f t="shared" si="3"/>
        <v>2.21</v>
      </c>
      <c r="P21" s="5">
        <f t="shared" si="4"/>
        <v>2.6</v>
      </c>
      <c r="Q21" s="5">
        <f t="shared" si="5"/>
        <v>1.4449999999999996</v>
      </c>
      <c r="R21" s="5">
        <f t="shared" si="6"/>
        <v>1.5749999999999993</v>
      </c>
      <c r="S21" s="5">
        <f t="shared" si="7"/>
        <v>1.6249999999999998</v>
      </c>
    </row>
    <row r="22" spans="2:19" s="3" customFormat="1" x14ac:dyDescent="0.25">
      <c r="B22" s="3">
        <v>4</v>
      </c>
      <c r="C22" s="3">
        <f t="shared" si="9"/>
        <v>1.1666666666666667</v>
      </c>
      <c r="D22" s="3">
        <f>IF((B22+$C$6)-$E$6&lt;0,0,B22+$C$6-$E$6)*3/26</f>
        <v>0.80769230769230771</v>
      </c>
      <c r="G22" s="4">
        <f t="shared" si="8"/>
        <v>16</v>
      </c>
      <c r="H22" s="3">
        <v>16</v>
      </c>
      <c r="I22" s="3">
        <f t="shared" si="0"/>
        <v>5.2</v>
      </c>
      <c r="L22" s="6">
        <v>17</v>
      </c>
      <c r="M22" s="5">
        <f t="shared" si="1"/>
        <v>0.92625000000000013</v>
      </c>
      <c r="N22" s="5">
        <f t="shared" si="2"/>
        <v>1.4625000000000001</v>
      </c>
      <c r="O22" s="5">
        <f t="shared" si="3"/>
        <v>1.9337499999999999</v>
      </c>
      <c r="P22" s="5">
        <f t="shared" si="4"/>
        <v>2.34</v>
      </c>
      <c r="Q22" s="5">
        <f t="shared" si="5"/>
        <v>1.08375</v>
      </c>
      <c r="R22" s="5">
        <f t="shared" si="6"/>
        <v>1.1812499999999999</v>
      </c>
      <c r="S22" s="5">
        <f t="shared" si="7"/>
        <v>1.2187500000000002</v>
      </c>
    </row>
    <row r="23" spans="2:19" s="3" customFormat="1" x14ac:dyDescent="0.25">
      <c r="B23" s="3">
        <v>5</v>
      </c>
      <c r="C23" s="3">
        <f t="shared" si="9"/>
        <v>1.3333333333333333</v>
      </c>
      <c r="D23" s="3">
        <f>IF((B23+$C$6)-$E$6&lt;0,0,B23+$C$6-$E$6)*4/36</f>
        <v>0.88888888888888884</v>
      </c>
      <c r="G23" s="4">
        <f t="shared" si="8"/>
        <v>17</v>
      </c>
      <c r="H23" s="3">
        <v>17</v>
      </c>
      <c r="I23" s="3">
        <f t="shared" si="0"/>
        <v>5.5249999999999995</v>
      </c>
      <c r="L23" s="6">
        <v>18</v>
      </c>
      <c r="M23" s="5">
        <f t="shared" si="1"/>
        <v>0.61749999999999983</v>
      </c>
      <c r="N23" s="5">
        <f t="shared" si="2"/>
        <v>1.1699999999999997</v>
      </c>
      <c r="O23" s="5">
        <f t="shared" si="3"/>
        <v>1.6575</v>
      </c>
      <c r="P23" s="5">
        <f t="shared" si="4"/>
        <v>2.0800000000000005</v>
      </c>
      <c r="Q23" s="5">
        <f t="shared" si="5"/>
        <v>0.72249999999999981</v>
      </c>
      <c r="R23" s="5">
        <f t="shared" si="6"/>
        <v>0.78749999999999964</v>
      </c>
      <c r="S23" s="5">
        <f t="shared" si="7"/>
        <v>0.81249999999999989</v>
      </c>
    </row>
    <row r="24" spans="2:19" s="3" customFormat="1" x14ac:dyDescent="0.25">
      <c r="B24" s="3">
        <v>6</v>
      </c>
      <c r="C24" s="3">
        <f t="shared" si="9"/>
        <v>1.5</v>
      </c>
      <c r="D24" s="3">
        <f>IF((B24+$C$6)-$E$6&lt;0,0,B24+$C$6-$E$6)*5/36</f>
        <v>1.25</v>
      </c>
      <c r="G24" s="4">
        <f t="shared" si="8"/>
        <v>18</v>
      </c>
      <c r="H24" s="3">
        <v>18</v>
      </c>
      <c r="I24" s="3">
        <f t="shared" si="0"/>
        <v>5.8500000000000005</v>
      </c>
      <c r="L24" s="6">
        <v>19</v>
      </c>
      <c r="M24" s="5">
        <f t="shared" si="1"/>
        <v>0.3087500000000003</v>
      </c>
      <c r="N24" s="5">
        <f t="shared" si="2"/>
        <v>0.87750000000000028</v>
      </c>
      <c r="O24" s="5">
        <f t="shared" si="3"/>
        <v>1.3812499999999999</v>
      </c>
      <c r="P24" s="5">
        <f t="shared" si="4"/>
        <v>1.8199999999999998</v>
      </c>
      <c r="Q24" s="5">
        <f t="shared" si="5"/>
        <v>0.36125000000000029</v>
      </c>
      <c r="R24" s="5">
        <f t="shared" si="6"/>
        <v>0.39375000000000027</v>
      </c>
      <c r="S24" s="5">
        <f t="shared" si="7"/>
        <v>0.40625000000000033</v>
      </c>
    </row>
    <row r="25" spans="2:19" s="3" customFormat="1" x14ac:dyDescent="0.25">
      <c r="B25" s="3">
        <v>7</v>
      </c>
      <c r="D25" s="3">
        <f>IF((B25+$C$6)-$E$6&lt;0,0,B25+$C$6-$E$6)*6/36</f>
        <v>1.6666666666666667</v>
      </c>
      <c r="G25" s="4">
        <f t="shared" si="8"/>
        <v>19</v>
      </c>
      <c r="H25" s="3">
        <v>19</v>
      </c>
      <c r="I25" s="3">
        <f t="shared" si="0"/>
        <v>6.1749999999999998</v>
      </c>
      <c r="L25" s="6">
        <v>20</v>
      </c>
      <c r="M25" s="5">
        <f t="shared" si="1"/>
        <v>0.3087500000000003</v>
      </c>
      <c r="N25" s="5">
        <f t="shared" si="2"/>
        <v>0.58499999999999985</v>
      </c>
      <c r="O25" s="5">
        <f t="shared" si="3"/>
        <v>1.1049999999999998</v>
      </c>
      <c r="P25" s="5">
        <f t="shared" si="4"/>
        <v>1.5600000000000003</v>
      </c>
      <c r="Q25" s="5">
        <f t="shared" si="5"/>
        <v>0.36125000000000029</v>
      </c>
      <c r="R25" s="5">
        <f t="shared" si="6"/>
        <v>0.39375000000000027</v>
      </c>
      <c r="S25" s="5">
        <f t="shared" si="7"/>
        <v>0.40625000000000033</v>
      </c>
    </row>
    <row r="26" spans="2:19" s="3" customFormat="1" x14ac:dyDescent="0.25">
      <c r="B26" s="3">
        <v>8</v>
      </c>
      <c r="D26" s="3">
        <f>IF((B26+$C$6)-$E$6&lt;0,0,B26+$C$6-$E$6)*5/36</f>
        <v>1.5277777777777777</v>
      </c>
      <c r="G26" s="4">
        <f t="shared" si="8"/>
        <v>19</v>
      </c>
      <c r="H26" s="3">
        <v>20</v>
      </c>
      <c r="I26" s="3">
        <f t="shared" si="0"/>
        <v>6.5</v>
      </c>
      <c r="L26" s="6">
        <v>21</v>
      </c>
      <c r="M26" s="5">
        <f t="shared" si="1"/>
        <v>0.3087500000000003</v>
      </c>
      <c r="N26" s="5">
        <f t="shared" si="2"/>
        <v>0.29250000000000026</v>
      </c>
      <c r="O26" s="5">
        <f t="shared" si="3"/>
        <v>0.82874999999999999</v>
      </c>
      <c r="P26" s="5">
        <f t="shared" si="4"/>
        <v>1.3</v>
      </c>
      <c r="Q26" s="5">
        <f t="shared" si="5"/>
        <v>0.36125000000000029</v>
      </c>
      <c r="R26" s="5">
        <f t="shared" si="6"/>
        <v>0.39375000000000027</v>
      </c>
      <c r="S26" s="5">
        <f t="shared" si="7"/>
        <v>0.40625000000000033</v>
      </c>
    </row>
    <row r="27" spans="2:19" s="3" customFormat="1" x14ac:dyDescent="0.25">
      <c r="B27" s="3">
        <v>9</v>
      </c>
      <c r="D27" s="3">
        <f>IF((B27+$C$6)-$E$6&lt;0,0,B27+$C$6-$E$6)*4/36</f>
        <v>1.3333333333333333</v>
      </c>
      <c r="G27" s="4">
        <f t="shared" si="8"/>
        <v>19</v>
      </c>
      <c r="H27" s="3">
        <v>21</v>
      </c>
      <c r="I27" s="3">
        <f t="shared" si="0"/>
        <v>6.8250000000000002</v>
      </c>
      <c r="L27" s="6">
        <v>22</v>
      </c>
      <c r="M27" s="5">
        <f t="shared" si="1"/>
        <v>0.3087500000000003</v>
      </c>
      <c r="N27" s="5">
        <f t="shared" si="2"/>
        <v>0.29250000000000026</v>
      </c>
      <c r="O27" s="5">
        <f t="shared" si="3"/>
        <v>0.55249999999999988</v>
      </c>
      <c r="P27" s="5">
        <f t="shared" si="4"/>
        <v>1.0399999999999998</v>
      </c>
      <c r="Q27" s="5">
        <f t="shared" si="5"/>
        <v>0.36125000000000029</v>
      </c>
      <c r="R27" s="5">
        <f t="shared" si="6"/>
        <v>0.39375000000000027</v>
      </c>
      <c r="S27" s="5">
        <f t="shared" si="7"/>
        <v>0.40625000000000033</v>
      </c>
    </row>
    <row r="28" spans="2:19" s="3" customFormat="1" x14ac:dyDescent="0.25">
      <c r="B28" s="3">
        <v>10</v>
      </c>
      <c r="D28" s="3">
        <f>IF((B28+$C$6)-$E$6&lt;0,0,B28+$C$6-$E$6)*3/36</f>
        <v>1.0833333333333333</v>
      </c>
      <c r="G28" s="4">
        <f t="shared" si="8"/>
        <v>19</v>
      </c>
      <c r="H28" s="3">
        <v>22</v>
      </c>
      <c r="I28" s="3">
        <f t="shared" si="0"/>
        <v>7.15</v>
      </c>
      <c r="L28" s="6">
        <v>23</v>
      </c>
      <c r="M28" s="5">
        <f t="shared" si="1"/>
        <v>0.3087500000000003</v>
      </c>
      <c r="N28" s="5">
        <f t="shared" si="2"/>
        <v>0.29250000000000026</v>
      </c>
      <c r="O28" s="5">
        <f t="shared" si="3"/>
        <v>0.27625000000000022</v>
      </c>
      <c r="P28" s="5">
        <f t="shared" si="4"/>
        <v>0.78000000000000014</v>
      </c>
      <c r="Q28" s="5">
        <f t="shared" si="5"/>
        <v>0.36125000000000029</v>
      </c>
      <c r="R28" s="5">
        <f t="shared" si="6"/>
        <v>0.39375000000000027</v>
      </c>
      <c r="S28" s="5">
        <f t="shared" si="7"/>
        <v>0.40625000000000033</v>
      </c>
    </row>
    <row r="29" spans="2:19" s="3" customFormat="1" x14ac:dyDescent="0.25">
      <c r="B29" s="3">
        <v>11</v>
      </c>
      <c r="D29" s="3">
        <f>IF((B29+$C$6)-$E$6&lt;0,0,B29+$C$6-$E$6)*2/36</f>
        <v>0.77777777777777779</v>
      </c>
      <c r="G29" s="4">
        <f t="shared" si="8"/>
        <v>19</v>
      </c>
      <c r="H29" s="3">
        <v>23</v>
      </c>
      <c r="I29" s="3">
        <f t="shared" si="0"/>
        <v>7.4749999999999996</v>
      </c>
      <c r="L29" s="6">
        <v>24</v>
      </c>
      <c r="M29" s="5">
        <f t="shared" si="1"/>
        <v>0.3087500000000003</v>
      </c>
      <c r="N29" s="5">
        <f t="shared" si="2"/>
        <v>0.29250000000000026</v>
      </c>
      <c r="O29" s="5">
        <f t="shared" si="3"/>
        <v>0.27625000000000022</v>
      </c>
      <c r="P29" s="5">
        <f t="shared" si="4"/>
        <v>0.51999999999999991</v>
      </c>
      <c r="Q29" s="5">
        <f t="shared" si="5"/>
        <v>0.36125000000000029</v>
      </c>
      <c r="R29" s="5">
        <f t="shared" si="6"/>
        <v>0.39375000000000027</v>
      </c>
      <c r="S29" s="5">
        <f t="shared" si="7"/>
        <v>0.40625000000000033</v>
      </c>
    </row>
    <row r="30" spans="2:19" s="3" customFormat="1" x14ac:dyDescent="0.25">
      <c r="B30" s="3">
        <v>12</v>
      </c>
      <c r="D30" s="3">
        <f>IF((B30+$C$6)-$E$6&lt;0,0,B30+$C$6-$E$6)*1/36</f>
        <v>0.41666666666666669</v>
      </c>
      <c r="G30" s="4">
        <f t="shared" si="8"/>
        <v>19</v>
      </c>
      <c r="H30" s="3">
        <v>24</v>
      </c>
      <c r="I30" s="3">
        <f t="shared" si="0"/>
        <v>7.8</v>
      </c>
      <c r="L30" s="6"/>
      <c r="M30" s="5"/>
      <c r="N30" s="5"/>
      <c r="O30" s="5"/>
      <c r="P30" s="5"/>
      <c r="Q30" s="5"/>
      <c r="R30" s="5"/>
      <c r="S30" s="5"/>
    </row>
    <row r="31" spans="2:19" s="3" customFormat="1" x14ac:dyDescent="0.25">
      <c r="C31" s="3">
        <f>SUM(C19:C30)</f>
        <v>6.5</v>
      </c>
      <c r="D31" s="3">
        <f>SUM(D19:D30)</f>
        <v>10.224358974358974</v>
      </c>
    </row>
    <row r="32" spans="2:19" s="3" customFormat="1" x14ac:dyDescent="0.25"/>
    <row r="33" spans="1:5" s="3" customFormat="1" x14ac:dyDescent="0.25"/>
    <row r="34" spans="1:5" s="3" customFormat="1" x14ac:dyDescent="0.25">
      <c r="A34" s="3" t="s">
        <v>17</v>
      </c>
      <c r="C34" s="4" t="s">
        <v>14</v>
      </c>
      <c r="D34" s="4" t="s">
        <v>15</v>
      </c>
    </row>
    <row r="35" spans="1:5" s="3" customFormat="1" x14ac:dyDescent="0.25">
      <c r="B35" s="3">
        <v>1</v>
      </c>
      <c r="C35" s="3">
        <f>IF((B35+$C$6+2)-$E$6&lt;0,0,B35+$C$6+2-$E$6)*1/6</f>
        <v>1</v>
      </c>
      <c r="D35" s="3">
        <f>IF((B35+$C$6)+2-$E$6&lt;0,0,B35+$C$6+2-$E$6)*0</f>
        <v>0</v>
      </c>
    </row>
    <row r="36" spans="1:5" s="3" customFormat="1" x14ac:dyDescent="0.25">
      <c r="B36" s="3">
        <v>2</v>
      </c>
      <c r="C36" s="3">
        <f t="shared" ref="C36:C40" si="10">IF((B36+$C$6+2)-$E$6&lt;0,0,B36+$C$6+2-$E$6)*1/6</f>
        <v>1.1666666666666667</v>
      </c>
      <c r="D36" s="3">
        <f>IF((B36+$C$6+2)-$E$6&lt;0,0,B36+$C$6+2-$E$6)*E36/36</f>
        <v>0.19444444444444445</v>
      </c>
      <c r="E36" s="3">
        <f>MIN(B36-1,13-B36)</f>
        <v>1</v>
      </c>
    </row>
    <row r="37" spans="1:5" s="3" customFormat="1" x14ac:dyDescent="0.25">
      <c r="B37" s="3">
        <v>3</v>
      </c>
      <c r="C37" s="3">
        <f t="shared" si="10"/>
        <v>1.3333333333333333</v>
      </c>
      <c r="D37" s="3">
        <f t="shared" ref="D37:D46" si="11">IF((B37+$C$6+2)-$E$6&lt;0,0,B37+$C$6+2-$E$6)*E37/36</f>
        <v>0.44444444444444442</v>
      </c>
      <c r="E37" s="3">
        <f t="shared" ref="E37:E46" si="12">MIN(B37-1,13-B37)</f>
        <v>2</v>
      </c>
    </row>
    <row r="38" spans="1:5" s="3" customFormat="1" x14ac:dyDescent="0.25">
      <c r="B38" s="3">
        <v>4</v>
      </c>
      <c r="C38" s="3">
        <f t="shared" si="10"/>
        <v>1.5</v>
      </c>
      <c r="D38" s="3">
        <f t="shared" si="11"/>
        <v>0.75</v>
      </c>
      <c r="E38" s="3">
        <f t="shared" si="12"/>
        <v>3</v>
      </c>
    </row>
    <row r="39" spans="1:5" s="3" customFormat="1" x14ac:dyDescent="0.25">
      <c r="B39" s="3">
        <v>5</v>
      </c>
      <c r="C39" s="3">
        <f t="shared" si="10"/>
        <v>1.6666666666666667</v>
      </c>
      <c r="D39" s="3">
        <f t="shared" si="11"/>
        <v>1.1111111111111112</v>
      </c>
      <c r="E39" s="3">
        <f t="shared" si="12"/>
        <v>4</v>
      </c>
    </row>
    <row r="40" spans="1:5" s="3" customFormat="1" x14ac:dyDescent="0.25">
      <c r="B40" s="3">
        <v>6</v>
      </c>
      <c r="C40" s="3">
        <f t="shared" si="10"/>
        <v>1.8333333333333333</v>
      </c>
      <c r="D40" s="3">
        <f t="shared" si="11"/>
        <v>1.5277777777777777</v>
      </c>
      <c r="E40" s="3">
        <f t="shared" si="12"/>
        <v>5</v>
      </c>
    </row>
    <row r="41" spans="1:5" s="3" customFormat="1" x14ac:dyDescent="0.25">
      <c r="B41" s="3">
        <v>7</v>
      </c>
      <c r="D41" s="3">
        <f t="shared" si="11"/>
        <v>2</v>
      </c>
      <c r="E41" s="3">
        <f t="shared" si="12"/>
        <v>6</v>
      </c>
    </row>
    <row r="42" spans="1:5" s="3" customFormat="1" x14ac:dyDescent="0.25">
      <c r="B42" s="3">
        <v>8</v>
      </c>
      <c r="D42" s="3">
        <f t="shared" si="11"/>
        <v>1.8055555555555556</v>
      </c>
      <c r="E42" s="3">
        <f t="shared" si="12"/>
        <v>5</v>
      </c>
    </row>
    <row r="43" spans="1:5" s="3" customFormat="1" x14ac:dyDescent="0.25">
      <c r="B43" s="3">
        <v>9</v>
      </c>
      <c r="D43" s="3">
        <f t="shared" si="11"/>
        <v>1.5555555555555556</v>
      </c>
      <c r="E43" s="3">
        <f t="shared" si="12"/>
        <v>4</v>
      </c>
    </row>
    <row r="44" spans="1:5" s="3" customFormat="1" x14ac:dyDescent="0.25">
      <c r="B44" s="3">
        <v>10</v>
      </c>
      <c r="D44" s="3">
        <f t="shared" si="11"/>
        <v>1.25</v>
      </c>
      <c r="E44" s="3">
        <f t="shared" si="12"/>
        <v>3</v>
      </c>
    </row>
    <row r="45" spans="1:5" s="3" customFormat="1" x14ac:dyDescent="0.25">
      <c r="B45" s="3">
        <v>11</v>
      </c>
      <c r="D45" s="3">
        <f t="shared" si="11"/>
        <v>0.88888888888888884</v>
      </c>
      <c r="E45" s="3">
        <f t="shared" si="12"/>
        <v>2</v>
      </c>
    </row>
    <row r="46" spans="1:5" s="3" customFormat="1" x14ac:dyDescent="0.25">
      <c r="B46" s="3">
        <v>12</v>
      </c>
      <c r="D46" s="3">
        <f t="shared" si="11"/>
        <v>0.47222222222222221</v>
      </c>
      <c r="E46" s="3">
        <f t="shared" si="12"/>
        <v>1</v>
      </c>
    </row>
    <row r="47" spans="1:5" s="3" customFormat="1" x14ac:dyDescent="0.25">
      <c r="C47" s="3">
        <f>SUM(C35:C46)</f>
        <v>8.5</v>
      </c>
      <c r="D47" s="3">
        <f>SUM(D35:D46)</f>
        <v>12</v>
      </c>
    </row>
    <row r="48" spans="1:5" s="3" customFormat="1" x14ac:dyDescent="0.25"/>
    <row r="49" spans="1:5" s="3" customFormat="1" x14ac:dyDescent="0.25">
      <c r="A49" s="3" t="s">
        <v>18</v>
      </c>
      <c r="C49" s="4" t="s">
        <v>14</v>
      </c>
      <c r="D49" s="4" t="s">
        <v>15</v>
      </c>
    </row>
    <row r="50" spans="1:5" s="3" customFormat="1" x14ac:dyDescent="0.25">
      <c r="B50" s="3">
        <v>1</v>
      </c>
      <c r="C50" s="3">
        <f>IF((B50+$C$6+4)-$E$6&lt;0,0,B50+$C$6+4-$E$6)*1/6</f>
        <v>1.3333333333333333</v>
      </c>
      <c r="D50" s="3">
        <f>IF((B50+$C$6)+2-$E$6&lt;0,0,B50+$C$6+2-$E$6)*0</f>
        <v>0</v>
      </c>
    </row>
    <row r="51" spans="1:5" s="3" customFormat="1" x14ac:dyDescent="0.25">
      <c r="B51" s="3">
        <v>2</v>
      </c>
      <c r="C51" s="3">
        <f t="shared" ref="C51:C55" si="13">IF((B51+$C$6+4)-$E$6&lt;0,0,B51+$C$6+4-$E$6)*1/6</f>
        <v>1.5</v>
      </c>
      <c r="D51" s="3">
        <f>IF((B51+$C$6+4)-$E$6&lt;0,0,B51+$C$6+4-$E$6)*E51/36</f>
        <v>0.25</v>
      </c>
      <c r="E51" s="3">
        <f>MIN(B51-1,13-B51)</f>
        <v>1</v>
      </c>
    </row>
    <row r="52" spans="1:5" s="3" customFormat="1" x14ac:dyDescent="0.25">
      <c r="B52" s="3">
        <v>3</v>
      </c>
      <c r="C52" s="3">
        <f t="shared" si="13"/>
        <v>1.6666666666666667</v>
      </c>
      <c r="D52" s="3">
        <f t="shared" ref="D52:D61" si="14">IF((B52+$C$6+4)-$E$6&lt;0,0,B52+$C$6+4-$E$6)*E52/36</f>
        <v>0.55555555555555558</v>
      </c>
      <c r="E52" s="3">
        <f t="shared" ref="E52:E61" si="15">MIN(B52-1,13-B52)</f>
        <v>2</v>
      </c>
    </row>
    <row r="53" spans="1:5" s="3" customFormat="1" x14ac:dyDescent="0.25">
      <c r="B53" s="3">
        <v>4</v>
      </c>
      <c r="C53" s="3">
        <f t="shared" si="13"/>
        <v>1.8333333333333333</v>
      </c>
      <c r="D53" s="3">
        <f t="shared" si="14"/>
        <v>0.91666666666666663</v>
      </c>
      <c r="E53" s="3">
        <f t="shared" si="15"/>
        <v>3</v>
      </c>
    </row>
    <row r="54" spans="1:5" s="3" customFormat="1" x14ac:dyDescent="0.25">
      <c r="B54" s="3">
        <v>5</v>
      </c>
      <c r="C54" s="3">
        <f t="shared" si="13"/>
        <v>2</v>
      </c>
      <c r="D54" s="3">
        <f t="shared" si="14"/>
        <v>1.3333333333333333</v>
      </c>
      <c r="E54" s="3">
        <f t="shared" si="15"/>
        <v>4</v>
      </c>
    </row>
    <row r="55" spans="1:5" s="3" customFormat="1" x14ac:dyDescent="0.25">
      <c r="B55" s="3">
        <v>6</v>
      </c>
      <c r="C55" s="3">
        <f t="shared" si="13"/>
        <v>2.1666666666666665</v>
      </c>
      <c r="D55" s="3">
        <f t="shared" si="14"/>
        <v>1.8055555555555556</v>
      </c>
      <c r="E55" s="3">
        <f t="shared" si="15"/>
        <v>5</v>
      </c>
    </row>
    <row r="56" spans="1:5" s="3" customFormat="1" x14ac:dyDescent="0.25">
      <c r="B56" s="3">
        <v>7</v>
      </c>
      <c r="D56" s="3">
        <f t="shared" si="14"/>
        <v>2.3333333333333335</v>
      </c>
      <c r="E56" s="3">
        <f t="shared" si="15"/>
        <v>6</v>
      </c>
    </row>
    <row r="57" spans="1:5" s="3" customFormat="1" x14ac:dyDescent="0.25">
      <c r="B57" s="3">
        <v>8</v>
      </c>
      <c r="D57" s="3">
        <f t="shared" si="14"/>
        <v>2.0833333333333335</v>
      </c>
      <c r="E57" s="3">
        <f t="shared" si="15"/>
        <v>5</v>
      </c>
    </row>
    <row r="58" spans="1:5" s="3" customFormat="1" x14ac:dyDescent="0.25">
      <c r="B58" s="3">
        <v>9</v>
      </c>
      <c r="D58" s="3">
        <f t="shared" si="14"/>
        <v>1.7777777777777777</v>
      </c>
      <c r="E58" s="3">
        <f t="shared" si="15"/>
        <v>4</v>
      </c>
    </row>
    <row r="59" spans="1:5" s="3" customFormat="1" x14ac:dyDescent="0.25">
      <c r="B59" s="3">
        <v>10</v>
      </c>
      <c r="D59" s="3">
        <f t="shared" si="14"/>
        <v>1.4166666666666667</v>
      </c>
      <c r="E59" s="3">
        <f t="shared" si="15"/>
        <v>3</v>
      </c>
    </row>
    <row r="60" spans="1:5" s="3" customFormat="1" x14ac:dyDescent="0.25">
      <c r="B60" s="3">
        <v>11</v>
      </c>
      <c r="D60" s="3">
        <f t="shared" si="14"/>
        <v>1</v>
      </c>
      <c r="E60" s="3">
        <f t="shared" si="15"/>
        <v>2</v>
      </c>
    </row>
    <row r="61" spans="1:5" s="3" customFormat="1" x14ac:dyDescent="0.25">
      <c r="B61" s="3">
        <v>12</v>
      </c>
      <c r="D61" s="3">
        <f t="shared" si="14"/>
        <v>0.52777777777777779</v>
      </c>
      <c r="E61" s="3">
        <f t="shared" si="15"/>
        <v>1</v>
      </c>
    </row>
    <row r="62" spans="1:5" s="3" customFormat="1" x14ac:dyDescent="0.25">
      <c r="C62" s="3">
        <f>SUM(C50:C61)</f>
        <v>10.499999999999998</v>
      </c>
      <c r="D62" s="3">
        <f>SUM(D50:D61)</f>
        <v>14.000000000000002</v>
      </c>
    </row>
    <row r="63" spans="1:5" s="3" customFormat="1" x14ac:dyDescent="0.25"/>
    <row r="64" spans="1:5" s="3" customFormat="1" x14ac:dyDescent="0.25">
      <c r="A64" s="3" t="s">
        <v>19</v>
      </c>
      <c r="C64" s="4" t="s">
        <v>14</v>
      </c>
      <c r="D64" s="4" t="s">
        <v>15</v>
      </c>
    </row>
    <row r="65" spans="2:5" s="3" customFormat="1" x14ac:dyDescent="0.25">
      <c r="B65" s="3">
        <v>1</v>
      </c>
      <c r="C65" s="3">
        <f>IF((B65+$C$6+6)-$E$6&lt;0,0,B65+$C$6+6-$E$6)*1/6</f>
        <v>1.6666666666666667</v>
      </c>
      <c r="D65" s="3">
        <f>IF((B65+$C$6)+2-$E$6&lt;0,0,B65+$C$6+2-$E$6)*0</f>
        <v>0</v>
      </c>
    </row>
    <row r="66" spans="2:5" s="3" customFormat="1" x14ac:dyDescent="0.25">
      <c r="B66" s="3">
        <v>2</v>
      </c>
      <c r="C66" s="3">
        <f t="shared" ref="C66:C70" si="16">IF((B66+$C$6+6)-$E$6&lt;0,0,B66+$C$6+6-$E$6)*1/6</f>
        <v>1.8333333333333333</v>
      </c>
      <c r="D66" s="3">
        <f>IF((B66+$C$6+6)-$E$6&lt;0,0,B66+$C$6+6-$E$6)*E66/36</f>
        <v>0.30555555555555558</v>
      </c>
      <c r="E66" s="3">
        <f>MIN(B66-1,13-B66)</f>
        <v>1</v>
      </c>
    </row>
    <row r="67" spans="2:5" s="3" customFormat="1" x14ac:dyDescent="0.25">
      <c r="B67" s="3">
        <v>3</v>
      </c>
      <c r="C67" s="3">
        <f t="shared" si="16"/>
        <v>2</v>
      </c>
      <c r="D67" s="3">
        <f t="shared" ref="D67:D76" si="17">IF((B67+$C$6+6)-$E$6&lt;0,0,B67+$C$6+6-$E$6)*E67/36</f>
        <v>0.66666666666666663</v>
      </c>
      <c r="E67" s="3">
        <f t="shared" ref="E67:E76" si="18">MIN(B67-1,13-B67)</f>
        <v>2</v>
      </c>
    </row>
    <row r="68" spans="2:5" s="3" customFormat="1" x14ac:dyDescent="0.25">
      <c r="B68" s="3">
        <v>4</v>
      </c>
      <c r="C68" s="3">
        <f t="shared" si="16"/>
        <v>2.1666666666666665</v>
      </c>
      <c r="D68" s="3">
        <f t="shared" si="17"/>
        <v>1.0833333333333333</v>
      </c>
      <c r="E68" s="3">
        <f t="shared" si="18"/>
        <v>3</v>
      </c>
    </row>
    <row r="69" spans="2:5" s="3" customFormat="1" x14ac:dyDescent="0.25">
      <c r="B69" s="3">
        <v>5</v>
      </c>
      <c r="C69" s="3">
        <f t="shared" si="16"/>
        <v>2.3333333333333335</v>
      </c>
      <c r="D69" s="3">
        <f t="shared" si="17"/>
        <v>1.5555555555555556</v>
      </c>
      <c r="E69" s="3">
        <f t="shared" si="18"/>
        <v>4</v>
      </c>
    </row>
    <row r="70" spans="2:5" s="3" customFormat="1" x14ac:dyDescent="0.25">
      <c r="B70" s="3">
        <v>6</v>
      </c>
      <c r="C70" s="3">
        <f t="shared" si="16"/>
        <v>2.5</v>
      </c>
      <c r="D70" s="3">
        <f t="shared" si="17"/>
        <v>2.0833333333333335</v>
      </c>
      <c r="E70" s="3">
        <f t="shared" si="18"/>
        <v>5</v>
      </c>
    </row>
    <row r="71" spans="2:5" s="3" customFormat="1" x14ac:dyDescent="0.25">
      <c r="B71" s="3">
        <v>7</v>
      </c>
      <c r="D71" s="3">
        <f t="shared" si="17"/>
        <v>2.6666666666666665</v>
      </c>
      <c r="E71" s="3">
        <f t="shared" si="18"/>
        <v>6</v>
      </c>
    </row>
    <row r="72" spans="2:5" s="3" customFormat="1" x14ac:dyDescent="0.25">
      <c r="B72" s="3">
        <v>8</v>
      </c>
      <c r="D72" s="3">
        <f t="shared" si="17"/>
        <v>2.3611111111111112</v>
      </c>
      <c r="E72" s="3">
        <f t="shared" si="18"/>
        <v>5</v>
      </c>
    </row>
    <row r="73" spans="2:5" s="3" customFormat="1" x14ac:dyDescent="0.25">
      <c r="B73" s="3">
        <v>9</v>
      </c>
      <c r="D73" s="3">
        <f t="shared" si="17"/>
        <v>2</v>
      </c>
      <c r="E73" s="3">
        <f t="shared" si="18"/>
        <v>4</v>
      </c>
    </row>
    <row r="74" spans="2:5" s="3" customFormat="1" x14ac:dyDescent="0.25">
      <c r="B74" s="3">
        <v>10</v>
      </c>
      <c r="D74" s="3">
        <f t="shared" si="17"/>
        <v>1.5833333333333333</v>
      </c>
      <c r="E74" s="3">
        <f t="shared" si="18"/>
        <v>3</v>
      </c>
    </row>
    <row r="75" spans="2:5" s="3" customFormat="1" x14ac:dyDescent="0.25">
      <c r="B75" s="3">
        <v>11</v>
      </c>
      <c r="D75" s="3">
        <f t="shared" si="17"/>
        <v>1.1111111111111112</v>
      </c>
      <c r="E75" s="3">
        <f t="shared" si="18"/>
        <v>2</v>
      </c>
    </row>
    <row r="76" spans="2:5" s="3" customFormat="1" x14ac:dyDescent="0.25">
      <c r="B76" s="3">
        <v>12</v>
      </c>
      <c r="D76" s="3">
        <f t="shared" si="17"/>
        <v>0.58333333333333337</v>
      </c>
      <c r="E76" s="3">
        <f t="shared" si="18"/>
        <v>1</v>
      </c>
    </row>
    <row r="77" spans="2:5" s="3" customFormat="1" x14ac:dyDescent="0.25">
      <c r="C77" s="3">
        <f>SUM(C65:C76)</f>
        <v>12.5</v>
      </c>
      <c r="D77" s="3">
        <f>SUM(D65:D76)</f>
        <v>16</v>
      </c>
    </row>
    <row r="78" spans="2:5" s="3" customFormat="1" x14ac:dyDescent="0.25"/>
    <row r="79" spans="2:5" s="3" customFormat="1" x14ac:dyDescent="0.25"/>
  </sheetData>
  <mergeCells count="2">
    <mergeCell ref="B4:C4"/>
    <mergeCell ref="A1:S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Schwarzwald</dc:creator>
  <cp:lastModifiedBy>Simon Schwarzwald</cp:lastModifiedBy>
  <dcterms:created xsi:type="dcterms:W3CDTF">2020-04-24T21:02:58Z</dcterms:created>
  <dcterms:modified xsi:type="dcterms:W3CDTF">2020-04-25T11:59:05Z</dcterms:modified>
</cp:coreProperties>
</file>