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1715" windowHeight="5700" tabRatio="476"/>
  </bookViews>
  <sheets>
    <sheet name="Master" sheetId="1" r:id="rId1"/>
    <sheet name="MU+1" sheetId="16" r:id="rId2"/>
    <sheet name="KL+1" sheetId="17" r:id="rId3"/>
    <sheet name="IN+1" sheetId="18" r:id="rId4"/>
    <sheet name="CH+1" sheetId="19" r:id="rId5"/>
    <sheet name="FF+1" sheetId="20" r:id="rId6"/>
    <sheet name="GE+1" sheetId="21" r:id="rId7"/>
    <sheet name="KO+1" sheetId="22" r:id="rId8"/>
    <sheet name="KK+1" sheetId="23" r:id="rId9"/>
  </sheets>
  <definedNames>
    <definedName name="AP_erhalten">Master!$O$5</definedName>
    <definedName name="CHmaster">Master!$G$2</definedName>
    <definedName name="CHslave" localSheetId="4">'CH+1'!$G$2</definedName>
    <definedName name="CHslave" localSheetId="5">'FF+1'!$G$2</definedName>
    <definedName name="CHslave" localSheetId="6">'GE+1'!$G$2</definedName>
    <definedName name="CHslave" localSheetId="3">'IN+1'!$G$2</definedName>
    <definedName name="CHslave" localSheetId="8">'KK+1'!$G$2</definedName>
    <definedName name="CHslave" localSheetId="2">'KL+1'!$G$2</definedName>
    <definedName name="CHslave" localSheetId="7">'KO+1'!$G$2</definedName>
    <definedName name="CHslave" localSheetId="1">'MU+1'!$G$2</definedName>
    <definedName name="FFmaster">Master!$H$2</definedName>
    <definedName name="FFslave" localSheetId="4">'CH+1'!$H$2</definedName>
    <definedName name="FFslave" localSheetId="5">'FF+1'!$H$2</definedName>
    <definedName name="FFslave" localSheetId="6">'GE+1'!$H$2</definedName>
    <definedName name="FFslave" localSheetId="3">'IN+1'!$H$2</definedName>
    <definedName name="FFslave" localSheetId="8">'KK+1'!$H$2</definedName>
    <definedName name="FFslave" localSheetId="2">'KL+1'!$H$2</definedName>
    <definedName name="FFslave" localSheetId="7">'KO+1'!$H$2</definedName>
    <definedName name="FFslave" localSheetId="1">'MU+1'!$H$2</definedName>
    <definedName name="GEmaster">Master!$I$2</definedName>
    <definedName name="GEslave" localSheetId="4">'CH+1'!$I$2</definedName>
    <definedName name="GEslave" localSheetId="5">'FF+1'!$I$2</definedName>
    <definedName name="GEslave" localSheetId="6">'GE+1'!$I$2</definedName>
    <definedName name="GEslave" localSheetId="3">'IN+1'!$I$2</definedName>
    <definedName name="GEslave" localSheetId="8">'KK+1'!$I$2</definedName>
    <definedName name="GEslave" localSheetId="2">'KL+1'!$I$2</definedName>
    <definedName name="GEslave" localSheetId="7">'KO+1'!$I$2</definedName>
    <definedName name="GEslave" localSheetId="1">'MU+1'!$I$2</definedName>
    <definedName name="INmaster">Master!$F$2</definedName>
    <definedName name="INslave" localSheetId="4">'CH+1'!$F$2</definedName>
    <definedName name="INslave" localSheetId="5">'FF+1'!$F$2</definedName>
    <definedName name="INslave" localSheetId="6">'GE+1'!$F$2</definedName>
    <definedName name="INslave" localSheetId="3">'IN+1'!$F$2</definedName>
    <definedName name="INslave" localSheetId="8">'KK+1'!$F$2</definedName>
    <definedName name="INslave" localSheetId="2">'KL+1'!$F$2</definedName>
    <definedName name="INslave" localSheetId="7">'KO+1'!$F$2</definedName>
    <definedName name="INslave" localSheetId="1">'MU+1'!$F$2</definedName>
    <definedName name="Istwerte">Master!$W$10:$W$72</definedName>
    <definedName name="KKmaster">Master!$K$2</definedName>
    <definedName name="KKslave" localSheetId="4">'CH+1'!$K$2</definedName>
    <definedName name="KKslave" localSheetId="5">'FF+1'!$K$2</definedName>
    <definedName name="KKslave" localSheetId="6">'GE+1'!$K$2</definedName>
    <definedName name="KKslave" localSheetId="3">'IN+1'!$K$2</definedName>
    <definedName name="KKslave" localSheetId="8">'KK+1'!$K$2</definedName>
    <definedName name="KKslave" localSheetId="2">'KL+1'!$K$2</definedName>
    <definedName name="KKslave" localSheetId="7">'KO+1'!$K$2</definedName>
    <definedName name="KKslave" localSheetId="1">'MU+1'!$K$2</definedName>
    <definedName name="KLmaster">Master!$E$2</definedName>
    <definedName name="KLslave" localSheetId="4">'CH+1'!$E$2</definedName>
    <definedName name="KLslave" localSheetId="5">'FF+1'!$E$2</definedName>
    <definedName name="KLslave" localSheetId="6">'GE+1'!$E$2</definedName>
    <definedName name="KLslave" localSheetId="3">'IN+1'!$E$2</definedName>
    <definedName name="KLslave" localSheetId="8">'KK+1'!$E$2</definedName>
    <definedName name="KLslave" localSheetId="2">'KL+1'!$E$2</definedName>
    <definedName name="KLslave" localSheetId="7">'KO+1'!$E$2</definedName>
    <definedName name="KLslave" localSheetId="1">'MU+1'!$E$2</definedName>
    <definedName name="KOmaster">Master!$J$2</definedName>
    <definedName name="Konvention_1master">Master!$M$2</definedName>
    <definedName name="Konvention_1slave" localSheetId="4">'CH+1'!$M$2</definedName>
    <definedName name="Konvention_1slave" localSheetId="5">'FF+1'!$M$2</definedName>
    <definedName name="Konvention_1slave" localSheetId="6">'GE+1'!$M$2</definedName>
    <definedName name="Konvention_1slave" localSheetId="3">'IN+1'!$M$2</definedName>
    <definedName name="Konvention_1slave" localSheetId="8">'KK+1'!$M$2</definedName>
    <definedName name="Konvention_1slave" localSheetId="2">'KL+1'!$M$2</definedName>
    <definedName name="Konvention_1slave" localSheetId="7">'KO+1'!$M$2</definedName>
    <definedName name="Konvention_1slave" localSheetId="1">'MU+1'!$M$2</definedName>
    <definedName name="KOslave" localSheetId="4">'CH+1'!$J$2</definedName>
    <definedName name="KOslave" localSheetId="5">'FF+1'!$J$2</definedName>
    <definedName name="KOslave" localSheetId="6">'GE+1'!$J$2</definedName>
    <definedName name="KOslave" localSheetId="3">'IN+1'!$J$2</definedName>
    <definedName name="KOslave" localSheetId="8">'KK+1'!$J$2</definedName>
    <definedName name="KOslave" localSheetId="2">'KL+1'!$J$2</definedName>
    <definedName name="KOslave" localSheetId="7">'KO+1'!$J$2</definedName>
    <definedName name="KOslave" localSheetId="1">'MU+1'!$J$2</definedName>
    <definedName name="MUmaster">Master!$D$2</definedName>
    <definedName name="MUslave" localSheetId="4">'CH+1'!$D$2</definedName>
    <definedName name="MUslave" localSheetId="5">'FF+1'!$D$2</definedName>
    <definedName name="MUslave" localSheetId="6">'GE+1'!$D$2</definedName>
    <definedName name="MUslave" localSheetId="3">'IN+1'!$D$2</definedName>
    <definedName name="MUslave" localSheetId="8">'KK+1'!$D$2</definedName>
    <definedName name="MUslave" localSheetId="2">'KL+1'!$D$2</definedName>
    <definedName name="MUslave" localSheetId="7">'KO+1'!$D$2</definedName>
    <definedName name="MUslave" localSheetId="1">'MU+1'!$D$2</definedName>
  </definedNames>
  <calcPr calcId="125725"/>
</workbook>
</file>

<file path=xl/calcChain.xml><?xml version="1.0" encoding="utf-8"?>
<calcChain xmlns="http://schemas.openxmlformats.org/spreadsheetml/2006/main">
  <c r="R76" i="16"/>
  <c r="R76" i="17"/>
  <c r="R76" i="18"/>
  <c r="R76" i="19"/>
  <c r="R76" i="20"/>
  <c r="R76" i="21"/>
  <c r="R76" i="22"/>
  <c r="R76" i="23"/>
  <c r="R76" i="1"/>
  <c r="Q76" i="16"/>
  <c r="Q76" i="17"/>
  <c r="Q76" i="18"/>
  <c r="Q76" i="19"/>
  <c r="Q76" i="20"/>
  <c r="Q76" i="21"/>
  <c r="Q76" i="22"/>
  <c r="Q76" i="23"/>
  <c r="Q76" i="1"/>
  <c r="P76" i="16"/>
  <c r="P76" i="17"/>
  <c r="P76" i="18"/>
  <c r="P76" i="19"/>
  <c r="P76" i="20"/>
  <c r="P76" i="21"/>
  <c r="P76" i="22"/>
  <c r="P76" i="23"/>
  <c r="P76" i="1"/>
  <c r="O76" i="16"/>
  <c r="O76" i="17"/>
  <c r="O76" i="18"/>
  <c r="O76" i="19"/>
  <c r="O76" i="20"/>
  <c r="O76" i="21"/>
  <c r="O76" i="22"/>
  <c r="O76" i="23"/>
  <c r="O76" i="1"/>
  <c r="W82"/>
  <c r="M5" s="1"/>
  <c r="N84" s="1"/>
  <c r="P84"/>
  <c r="M5" i="23"/>
  <c r="M5" i="22"/>
  <c r="M5" i="21"/>
  <c r="M5" i="20"/>
  <c r="M5" i="19"/>
  <c r="M5" i="18"/>
  <c r="M5" i="17"/>
  <c r="M5" i="16"/>
  <c r="W72" i="23" l="1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72" i="22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72" i="21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72" i="20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72" i="19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72" i="18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72" i="17"/>
  <c r="W71"/>
  <c r="W70"/>
  <c r="W69"/>
  <c r="W68"/>
  <c r="W67"/>
  <c r="W66"/>
  <c r="W65"/>
  <c r="W64"/>
  <c r="W63"/>
  <c r="W62"/>
  <c r="W61"/>
  <c r="W60"/>
  <c r="W59"/>
  <c r="W58"/>
  <c r="W57"/>
  <c r="W56"/>
  <c r="W54"/>
  <c r="W53"/>
  <c r="W52"/>
  <c r="W51"/>
  <c r="W50"/>
  <c r="W49"/>
  <c r="W48"/>
  <c r="W47"/>
  <c r="W46"/>
  <c r="W45"/>
  <c r="W44"/>
  <c r="W43"/>
  <c r="W41"/>
  <c r="W40"/>
  <c r="W39"/>
  <c r="W38"/>
  <c r="W37"/>
  <c r="W36"/>
  <c r="W35"/>
  <c r="W33"/>
  <c r="W32"/>
  <c r="W31"/>
  <c r="W30"/>
  <c r="W29"/>
  <c r="W28"/>
  <c r="W27"/>
  <c r="W26"/>
  <c r="W25"/>
  <c r="W23"/>
  <c r="W22"/>
  <c r="W21"/>
  <c r="W20"/>
  <c r="W19"/>
  <c r="W18"/>
  <c r="W17"/>
  <c r="W16"/>
  <c r="W15"/>
  <c r="W14"/>
  <c r="W13"/>
  <c r="W12"/>
  <c r="W11"/>
  <c r="W10"/>
  <c r="W36" i="16"/>
  <c r="W37"/>
  <c r="W38"/>
  <c r="W39"/>
  <c r="W40"/>
  <c r="W41"/>
  <c r="W35"/>
  <c r="W57"/>
  <c r="W58"/>
  <c r="W59"/>
  <c r="W60"/>
  <c r="W61"/>
  <c r="W62"/>
  <c r="W63"/>
  <c r="W64"/>
  <c r="W65"/>
  <c r="W66"/>
  <c r="W67"/>
  <c r="W68"/>
  <c r="W69"/>
  <c r="W70"/>
  <c r="W71"/>
  <c r="W72"/>
  <c r="W56"/>
  <c r="W44"/>
  <c r="W45"/>
  <c r="W46"/>
  <c r="W47"/>
  <c r="W48"/>
  <c r="W49"/>
  <c r="W50"/>
  <c r="W51"/>
  <c r="W52"/>
  <c r="W53"/>
  <c r="W54"/>
  <c r="W43"/>
  <c r="W26"/>
  <c r="W27"/>
  <c r="W28"/>
  <c r="W29"/>
  <c r="W30"/>
  <c r="W31"/>
  <c r="W32"/>
  <c r="W33"/>
  <c r="W25"/>
  <c r="W11"/>
  <c r="W12"/>
  <c r="W13"/>
  <c r="W14"/>
  <c r="W15"/>
  <c r="W16"/>
  <c r="W17"/>
  <c r="W18"/>
  <c r="W19"/>
  <c r="W20"/>
  <c r="W21"/>
  <c r="W22"/>
  <c r="W23"/>
  <c r="W10"/>
  <c r="D2"/>
  <c r="K2" i="23"/>
  <c r="K16" s="1"/>
  <c r="F2"/>
  <c r="F70" s="1"/>
  <c r="J2" i="22"/>
  <c r="J18" s="1"/>
  <c r="F2"/>
  <c r="F70" s="1"/>
  <c r="I2"/>
  <c r="I37" s="1"/>
  <c r="I2" i="21"/>
  <c r="I37" s="1"/>
  <c r="F2"/>
  <c r="F70" s="1"/>
  <c r="H2" i="20"/>
  <c r="H56" s="1"/>
  <c r="F2"/>
  <c r="F60" s="1"/>
  <c r="G2" i="19"/>
  <c r="G5" s="1"/>
  <c r="F2"/>
  <c r="F70" s="1"/>
  <c r="J2" i="23"/>
  <c r="J18" s="1"/>
  <c r="I2"/>
  <c r="I37" s="1"/>
  <c r="H2"/>
  <c r="H65" s="1"/>
  <c r="G2"/>
  <c r="G62" s="1"/>
  <c r="E2"/>
  <c r="E72" s="1"/>
  <c r="D2"/>
  <c r="D61" s="1"/>
  <c r="K2" i="22"/>
  <c r="K68" s="1"/>
  <c r="H2"/>
  <c r="H65" s="1"/>
  <c r="G2"/>
  <c r="G62" s="1"/>
  <c r="E2"/>
  <c r="E72" s="1"/>
  <c r="D2"/>
  <c r="D61" s="1"/>
  <c r="K2" i="21"/>
  <c r="K68" s="1"/>
  <c r="J2"/>
  <c r="J18" s="1"/>
  <c r="H2"/>
  <c r="H65" s="1"/>
  <c r="G2"/>
  <c r="G62" s="1"/>
  <c r="E2"/>
  <c r="E72" s="1"/>
  <c r="D2"/>
  <c r="D61" s="1"/>
  <c r="K2" i="20"/>
  <c r="K68" s="1"/>
  <c r="J2"/>
  <c r="J18" s="1"/>
  <c r="I2"/>
  <c r="G2"/>
  <c r="G62" s="1"/>
  <c r="E2"/>
  <c r="D2"/>
  <c r="D61" s="1"/>
  <c r="K2" i="19"/>
  <c r="K68" s="1"/>
  <c r="J2"/>
  <c r="J18" s="1"/>
  <c r="I2"/>
  <c r="I37" s="1"/>
  <c r="H2"/>
  <c r="H65" s="1"/>
  <c r="E2"/>
  <c r="E72" s="1"/>
  <c r="D2"/>
  <c r="D61" s="1"/>
  <c r="F2" i="18"/>
  <c r="F52" s="1"/>
  <c r="E2"/>
  <c r="E72" s="1"/>
  <c r="K2"/>
  <c r="K14" s="1"/>
  <c r="J2"/>
  <c r="J18" s="1"/>
  <c r="I2"/>
  <c r="I64" s="1"/>
  <c r="H2"/>
  <c r="H72" s="1"/>
  <c r="G2"/>
  <c r="G69" s="1"/>
  <c r="D2"/>
  <c r="D60" s="1"/>
  <c r="E2" i="17"/>
  <c r="D2"/>
  <c r="D5" s="1"/>
  <c r="K2"/>
  <c r="J2"/>
  <c r="I2"/>
  <c r="H2"/>
  <c r="G2"/>
  <c r="F2"/>
  <c r="J2" i="16"/>
  <c r="K2"/>
  <c r="I2"/>
  <c r="H2"/>
  <c r="G2"/>
  <c r="F2"/>
  <c r="E2"/>
  <c r="K5" i="1"/>
  <c r="J5"/>
  <c r="I5"/>
  <c r="H5"/>
  <c r="G5"/>
  <c r="F5"/>
  <c r="E5"/>
  <c r="D5"/>
  <c r="G11" i="16" l="1"/>
  <c r="G5"/>
  <c r="J16"/>
  <c r="J5"/>
  <c r="I10" i="17"/>
  <c r="I5"/>
  <c r="E20"/>
  <c r="E5"/>
  <c r="F33" i="16"/>
  <c r="F5"/>
  <c r="K14"/>
  <c r="K5"/>
  <c r="H65" i="17"/>
  <c r="H5"/>
  <c r="E18" i="16"/>
  <c r="E5"/>
  <c r="I13"/>
  <c r="I5"/>
  <c r="G62" i="17"/>
  <c r="G5"/>
  <c r="K68"/>
  <c r="K5"/>
  <c r="H49" i="16"/>
  <c r="H5"/>
  <c r="F70" i="17"/>
  <c r="F5"/>
  <c r="J18"/>
  <c r="J5"/>
  <c r="D11" i="16"/>
  <c r="D5"/>
  <c r="W78" i="21"/>
  <c r="W75" s="1"/>
  <c r="W78" i="22"/>
  <c r="W75" s="1"/>
  <c r="W78" i="19"/>
  <c r="W75" s="1"/>
  <c r="W78" i="23"/>
  <c r="W75" s="1"/>
  <c r="W78" i="20"/>
  <c r="W75" s="1"/>
  <c r="W78" i="18"/>
  <c r="W75" s="1"/>
  <c r="W78" i="17"/>
  <c r="W75" s="1"/>
  <c r="W78" i="16"/>
  <c r="W75" s="1"/>
  <c r="F70"/>
  <c r="H56"/>
  <c r="F47"/>
  <c r="F27"/>
  <c r="K71"/>
  <c r="F65"/>
  <c r="F50"/>
  <c r="F30"/>
  <c r="D12"/>
  <c r="H72"/>
  <c r="H66"/>
  <c r="F51"/>
  <c r="F38"/>
  <c r="D47"/>
  <c r="K5" i="19"/>
  <c r="F67" i="16"/>
  <c r="F54"/>
  <c r="F46"/>
  <c r="F19"/>
  <c r="H65" i="20"/>
  <c r="H5"/>
  <c r="H37"/>
  <c r="H21"/>
  <c r="H63"/>
  <c r="E72" i="16"/>
  <c r="H71"/>
  <c r="H68"/>
  <c r="K64"/>
  <c r="J62"/>
  <c r="F61"/>
  <c r="K57"/>
  <c r="E56"/>
  <c r="E54"/>
  <c r="Q54" s="1"/>
  <c r="E51"/>
  <c r="E50"/>
  <c r="Q50" s="1"/>
  <c r="E47"/>
  <c r="E46"/>
  <c r="I41"/>
  <c r="E39"/>
  <c r="E38"/>
  <c r="H37"/>
  <c r="I35"/>
  <c r="G33"/>
  <c r="I32"/>
  <c r="F31"/>
  <c r="E30"/>
  <c r="F29"/>
  <c r="F28"/>
  <c r="G26"/>
  <c r="K23"/>
  <c r="F22"/>
  <c r="I20"/>
  <c r="E19"/>
  <c r="G18"/>
  <c r="K16"/>
  <c r="G15"/>
  <c r="J13"/>
  <c r="H11"/>
  <c r="G69"/>
  <c r="J68"/>
  <c r="G28"/>
  <c r="E25"/>
  <c r="I15"/>
  <c r="I12"/>
  <c r="F10"/>
  <c r="J61"/>
  <c r="E59"/>
  <c r="G58"/>
  <c r="E45"/>
  <c r="E44"/>
  <c r="J41"/>
  <c r="H39"/>
  <c r="I37"/>
  <c r="E36"/>
  <c r="G31"/>
  <c r="G29"/>
  <c r="I22"/>
  <c r="J18"/>
  <c r="H70"/>
  <c r="H69"/>
  <c r="K68"/>
  <c r="H67"/>
  <c r="I66"/>
  <c r="H65"/>
  <c r="H64"/>
  <c r="E63"/>
  <c r="F62"/>
  <c r="E60"/>
  <c r="F59"/>
  <c r="H58"/>
  <c r="H57"/>
  <c r="E53"/>
  <c r="E52"/>
  <c r="E49"/>
  <c r="Q49" s="1"/>
  <c r="E48"/>
  <c r="F45"/>
  <c r="F44"/>
  <c r="E43"/>
  <c r="J39"/>
  <c r="J37"/>
  <c r="H36"/>
  <c r="F32"/>
  <c r="G30"/>
  <c r="G27"/>
  <c r="G25"/>
  <c r="E23"/>
  <c r="H21"/>
  <c r="E20"/>
  <c r="J17"/>
  <c r="I16"/>
  <c r="K15"/>
  <c r="J14"/>
  <c r="Q14" s="1"/>
  <c r="K12"/>
  <c r="I10"/>
  <c r="D25"/>
  <c r="J69"/>
  <c r="J66"/>
  <c r="I64"/>
  <c r="H63"/>
  <c r="G62"/>
  <c r="F60"/>
  <c r="G59"/>
  <c r="J58"/>
  <c r="I57"/>
  <c r="F53"/>
  <c r="F52"/>
  <c r="F48"/>
  <c r="Q48" s="1"/>
  <c r="F43"/>
  <c r="G40"/>
  <c r="K36"/>
  <c r="F35"/>
  <c r="G32"/>
  <c r="E29"/>
  <c r="E28"/>
  <c r="J23"/>
  <c r="I21"/>
  <c r="G20"/>
  <c r="D33"/>
  <c r="D56"/>
  <c r="D35"/>
  <c r="D26"/>
  <c r="P26" s="1"/>
  <c r="D17"/>
  <c r="D60"/>
  <c r="D40"/>
  <c r="D27"/>
  <c r="D21"/>
  <c r="D10"/>
  <c r="D61"/>
  <c r="D41"/>
  <c r="D31"/>
  <c r="D22"/>
  <c r="J13" i="17"/>
  <c r="I37" i="18"/>
  <c r="D17"/>
  <c r="I22" i="17"/>
  <c r="I21" i="18"/>
  <c r="G58" i="17"/>
  <c r="D5" i="18"/>
  <c r="J13" i="20"/>
  <c r="G26"/>
  <c r="H5" i="23"/>
  <c r="G30" i="17"/>
  <c r="D12" i="20"/>
  <c r="D25"/>
  <c r="J41"/>
  <c r="G5" i="23"/>
  <c r="G30"/>
  <c r="D12" i="18"/>
  <c r="G32"/>
  <c r="D40" i="20"/>
  <c r="G26" i="23"/>
  <c r="G18" i="17"/>
  <c r="H63"/>
  <c r="I5" i="18"/>
  <c r="G29"/>
  <c r="D5" i="20"/>
  <c r="K16"/>
  <c r="J68"/>
  <c r="K5" i="22"/>
  <c r="G18" i="23"/>
  <c r="H21" i="17"/>
  <c r="F38"/>
  <c r="H56"/>
  <c r="F62"/>
  <c r="J68"/>
  <c r="D11" i="18"/>
  <c r="K15"/>
  <c r="D27"/>
  <c r="G33"/>
  <c r="H57"/>
  <c r="G62"/>
  <c r="J66" i="20"/>
  <c r="J13" i="23"/>
  <c r="F32" i="17"/>
  <c r="J41"/>
  <c r="J69"/>
  <c r="H58" i="18"/>
  <c r="H64"/>
  <c r="F29" i="17"/>
  <c r="H37"/>
  <c r="F46"/>
  <c r="F60"/>
  <c r="J66"/>
  <c r="J14" i="18"/>
  <c r="Q14" s="1"/>
  <c r="D47"/>
  <c r="D61"/>
  <c r="K68"/>
  <c r="K71" i="20"/>
  <c r="G5" i="22"/>
  <c r="D5" i="23"/>
  <c r="D12"/>
  <c r="K16" i="17"/>
  <c r="G26"/>
  <c r="F33"/>
  <c r="F44"/>
  <c r="F59"/>
  <c r="F65"/>
  <c r="K71"/>
  <c r="H5" i="18"/>
  <c r="I12"/>
  <c r="G20"/>
  <c r="D31"/>
  <c r="G40"/>
  <c r="G59"/>
  <c r="H65"/>
  <c r="G18" i="20"/>
  <c r="G30"/>
  <c r="G58"/>
  <c r="J69"/>
  <c r="K68" i="23"/>
  <c r="K5"/>
  <c r="H21"/>
  <c r="F33" i="20"/>
  <c r="F29"/>
  <c r="F59"/>
  <c r="F32"/>
  <c r="F62"/>
  <c r="F44"/>
  <c r="F65"/>
  <c r="F70"/>
  <c r="F38"/>
  <c r="F46"/>
  <c r="G62" i="19"/>
  <c r="I10" i="23"/>
  <c r="I15"/>
  <c r="E20"/>
  <c r="I22"/>
  <c r="D25"/>
  <c r="E28"/>
  <c r="F29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O16" s="1"/>
  <c r="J17"/>
  <c r="E19"/>
  <c r="I20"/>
  <c r="D22"/>
  <c r="J23"/>
  <c r="G25"/>
  <c r="F27"/>
  <c r="G28"/>
  <c r="E30"/>
  <c r="F31"/>
  <c r="I32"/>
  <c r="D35"/>
  <c r="H36"/>
  <c r="J37"/>
  <c r="O37" s="1"/>
  <c r="H39"/>
  <c r="D41"/>
  <c r="F43"/>
  <c r="F45"/>
  <c r="E47"/>
  <c r="E49"/>
  <c r="E51"/>
  <c r="E53"/>
  <c r="D56"/>
  <c r="I57"/>
  <c r="J58"/>
  <c r="D60"/>
  <c r="F61"/>
  <c r="L61" s="1"/>
  <c r="J62"/>
  <c r="O62" s="1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D5" i="22"/>
  <c r="H5"/>
  <c r="I10"/>
  <c r="D12"/>
  <c r="J13"/>
  <c r="I15"/>
  <c r="K16"/>
  <c r="G18"/>
  <c r="E20"/>
  <c r="H21"/>
  <c r="I22"/>
  <c r="D25"/>
  <c r="G26"/>
  <c r="E28"/>
  <c r="F29"/>
  <c r="G30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J17"/>
  <c r="E19"/>
  <c r="I20"/>
  <c r="D22"/>
  <c r="J23"/>
  <c r="G25"/>
  <c r="F27"/>
  <c r="G28"/>
  <c r="E30"/>
  <c r="F31"/>
  <c r="I32"/>
  <c r="D35"/>
  <c r="H36"/>
  <c r="J37"/>
  <c r="H39"/>
  <c r="D41"/>
  <c r="F43"/>
  <c r="F45"/>
  <c r="E47"/>
  <c r="E49"/>
  <c r="E51"/>
  <c r="E53"/>
  <c r="D56"/>
  <c r="I57"/>
  <c r="J58"/>
  <c r="D60"/>
  <c r="F61"/>
  <c r="J62"/>
  <c r="O62" s="1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D5" i="21"/>
  <c r="H5"/>
  <c r="I10"/>
  <c r="D12"/>
  <c r="J13"/>
  <c r="I15"/>
  <c r="K16"/>
  <c r="G18"/>
  <c r="E20"/>
  <c r="H21"/>
  <c r="I22"/>
  <c r="D25"/>
  <c r="G26"/>
  <c r="E28"/>
  <c r="F29"/>
  <c r="G30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G5"/>
  <c r="K5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J17"/>
  <c r="E19"/>
  <c r="I20"/>
  <c r="D22"/>
  <c r="J23"/>
  <c r="G25"/>
  <c r="F27"/>
  <c r="G28"/>
  <c r="E30"/>
  <c r="F31"/>
  <c r="I32"/>
  <c r="D35"/>
  <c r="H36"/>
  <c r="J37"/>
  <c r="H39"/>
  <c r="D41"/>
  <c r="F43"/>
  <c r="F45"/>
  <c r="E47"/>
  <c r="E49"/>
  <c r="E51"/>
  <c r="E53"/>
  <c r="D56"/>
  <c r="I57"/>
  <c r="J58"/>
  <c r="D60"/>
  <c r="F61"/>
  <c r="J62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E72" i="20"/>
  <c r="E45"/>
  <c r="E43"/>
  <c r="E39"/>
  <c r="E36"/>
  <c r="E25"/>
  <c r="E23"/>
  <c r="E5"/>
  <c r="E53"/>
  <c r="E51"/>
  <c r="E49"/>
  <c r="E47"/>
  <c r="E30"/>
  <c r="E19"/>
  <c r="E63"/>
  <c r="E60"/>
  <c r="E59"/>
  <c r="E56"/>
  <c r="E46"/>
  <c r="E44"/>
  <c r="E38"/>
  <c r="O38" s="1"/>
  <c r="E29"/>
  <c r="E18"/>
  <c r="I37"/>
  <c r="I21"/>
  <c r="I12"/>
  <c r="I5"/>
  <c r="I64"/>
  <c r="I57"/>
  <c r="I32"/>
  <c r="I20"/>
  <c r="I16"/>
  <c r="I66"/>
  <c r="I41"/>
  <c r="I13"/>
  <c r="E28"/>
  <c r="I35"/>
  <c r="E54"/>
  <c r="I10"/>
  <c r="E20"/>
  <c r="I22"/>
  <c r="E48"/>
  <c r="I15"/>
  <c r="E50"/>
  <c r="E52"/>
  <c r="L2"/>
  <c r="G5"/>
  <c r="K5"/>
  <c r="F10"/>
  <c r="H11"/>
  <c r="G15"/>
  <c r="J16"/>
  <c r="F19"/>
  <c r="D21"/>
  <c r="F22"/>
  <c r="K23"/>
  <c r="D26"/>
  <c r="G27"/>
  <c r="F30"/>
  <c r="G31"/>
  <c r="D33"/>
  <c r="F35"/>
  <c r="K36"/>
  <c r="J39"/>
  <c r="F47"/>
  <c r="H49"/>
  <c r="F51"/>
  <c r="F53"/>
  <c r="K57"/>
  <c r="J61"/>
  <c r="K64"/>
  <c r="H68"/>
  <c r="H69"/>
  <c r="H71"/>
  <c r="F5"/>
  <c r="J5"/>
  <c r="D10"/>
  <c r="G11"/>
  <c r="K12"/>
  <c r="K14"/>
  <c r="J17"/>
  <c r="D22"/>
  <c r="J23"/>
  <c r="G25"/>
  <c r="F27"/>
  <c r="G28"/>
  <c r="F31"/>
  <c r="D35"/>
  <c r="H36"/>
  <c r="J37"/>
  <c r="H39"/>
  <c r="D41"/>
  <c r="F43"/>
  <c r="F45"/>
  <c r="D56"/>
  <c r="J58"/>
  <c r="D60"/>
  <c r="F61"/>
  <c r="J62"/>
  <c r="H66"/>
  <c r="H67"/>
  <c r="G69"/>
  <c r="H70"/>
  <c r="H72"/>
  <c r="D11"/>
  <c r="J14"/>
  <c r="K15"/>
  <c r="D17"/>
  <c r="G20"/>
  <c r="D27"/>
  <c r="F28"/>
  <c r="G29"/>
  <c r="D31"/>
  <c r="G32"/>
  <c r="G33"/>
  <c r="G40"/>
  <c r="D47"/>
  <c r="F48"/>
  <c r="F50"/>
  <c r="F52"/>
  <c r="F54"/>
  <c r="H57"/>
  <c r="H58"/>
  <c r="G59"/>
  <c r="H64"/>
  <c r="F67"/>
  <c r="D5" i="19"/>
  <c r="H5"/>
  <c r="I10"/>
  <c r="D12"/>
  <c r="J13"/>
  <c r="I15"/>
  <c r="K16"/>
  <c r="G18"/>
  <c r="E20"/>
  <c r="H21"/>
  <c r="I22"/>
  <c r="D25"/>
  <c r="G26"/>
  <c r="E28"/>
  <c r="F29"/>
  <c r="G30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J17"/>
  <c r="E19"/>
  <c r="I20"/>
  <c r="D22"/>
  <c r="J23"/>
  <c r="G25"/>
  <c r="F27"/>
  <c r="G28"/>
  <c r="E30"/>
  <c r="F31"/>
  <c r="I32"/>
  <c r="D35"/>
  <c r="H36"/>
  <c r="J37"/>
  <c r="H39"/>
  <c r="D41"/>
  <c r="F43"/>
  <c r="F45"/>
  <c r="E47"/>
  <c r="E49"/>
  <c r="E51"/>
  <c r="E53"/>
  <c r="D56"/>
  <c r="I57"/>
  <c r="J58"/>
  <c r="D60"/>
  <c r="F61"/>
  <c r="J62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F28" i="18"/>
  <c r="F54"/>
  <c r="E39"/>
  <c r="E5"/>
  <c r="E25"/>
  <c r="E45"/>
  <c r="O72"/>
  <c r="E23"/>
  <c r="E36"/>
  <c r="E43"/>
  <c r="F61"/>
  <c r="F45"/>
  <c r="F43"/>
  <c r="F31"/>
  <c r="F27"/>
  <c r="F5"/>
  <c r="F67"/>
  <c r="F53"/>
  <c r="F51"/>
  <c r="F47"/>
  <c r="F35"/>
  <c r="F30"/>
  <c r="F22"/>
  <c r="F19"/>
  <c r="F10"/>
  <c r="F70"/>
  <c r="F65"/>
  <c r="F62"/>
  <c r="F60"/>
  <c r="F59"/>
  <c r="F46"/>
  <c r="F44"/>
  <c r="F38"/>
  <c r="F33"/>
  <c r="F32"/>
  <c r="F29"/>
  <c r="J62"/>
  <c r="J58"/>
  <c r="J37"/>
  <c r="J23"/>
  <c r="J17"/>
  <c r="J5"/>
  <c r="J61"/>
  <c r="J39"/>
  <c r="J16"/>
  <c r="J69"/>
  <c r="J68"/>
  <c r="J66"/>
  <c r="J41"/>
  <c r="J13"/>
  <c r="F48"/>
  <c r="P72"/>
  <c r="F50"/>
  <c r="I10"/>
  <c r="I15"/>
  <c r="K16"/>
  <c r="G18"/>
  <c r="E20"/>
  <c r="H21"/>
  <c r="I22"/>
  <c r="D25"/>
  <c r="G26"/>
  <c r="E28"/>
  <c r="G30"/>
  <c r="I35"/>
  <c r="H37"/>
  <c r="D40"/>
  <c r="E48"/>
  <c r="E50"/>
  <c r="E52"/>
  <c r="E54"/>
  <c r="H56"/>
  <c r="G58"/>
  <c r="H63"/>
  <c r="K71"/>
  <c r="Q72"/>
  <c r="L2"/>
  <c r="G5"/>
  <c r="K5"/>
  <c r="H11"/>
  <c r="I13"/>
  <c r="G15"/>
  <c r="E18"/>
  <c r="D21"/>
  <c r="K23"/>
  <c r="D26"/>
  <c r="G27"/>
  <c r="E29"/>
  <c r="G31"/>
  <c r="D33"/>
  <c r="K36"/>
  <c r="E38"/>
  <c r="I41"/>
  <c r="E44"/>
  <c r="E46"/>
  <c r="H49"/>
  <c r="E56"/>
  <c r="K57"/>
  <c r="E59"/>
  <c r="E60"/>
  <c r="E63"/>
  <c r="K64"/>
  <c r="I66"/>
  <c r="H68"/>
  <c r="H69"/>
  <c r="H71"/>
  <c r="L72"/>
  <c r="D10"/>
  <c r="G11"/>
  <c r="K12"/>
  <c r="I16"/>
  <c r="E19"/>
  <c r="I20"/>
  <c r="D22"/>
  <c r="G25"/>
  <c r="G28"/>
  <c r="E30"/>
  <c r="I32"/>
  <c r="D35"/>
  <c r="H36"/>
  <c r="H39"/>
  <c r="D41"/>
  <c r="E47"/>
  <c r="E49"/>
  <c r="E51"/>
  <c r="E53"/>
  <c r="D56"/>
  <c r="I57"/>
  <c r="H66"/>
  <c r="H67"/>
  <c r="H70"/>
  <c r="D25" i="17"/>
  <c r="D40"/>
  <c r="D12"/>
  <c r="D61"/>
  <c r="E72"/>
  <c r="E45"/>
  <c r="E43"/>
  <c r="E39"/>
  <c r="E36"/>
  <c r="E25"/>
  <c r="E23"/>
  <c r="E52"/>
  <c r="E53"/>
  <c r="E51"/>
  <c r="E49"/>
  <c r="E47"/>
  <c r="E30"/>
  <c r="E19"/>
  <c r="E63"/>
  <c r="E60"/>
  <c r="E59"/>
  <c r="E56"/>
  <c r="E46"/>
  <c r="E44"/>
  <c r="E38"/>
  <c r="E29"/>
  <c r="E18"/>
  <c r="E54"/>
  <c r="I37"/>
  <c r="I21"/>
  <c r="I12"/>
  <c r="I64"/>
  <c r="I57"/>
  <c r="I32"/>
  <c r="I20"/>
  <c r="I16"/>
  <c r="I66"/>
  <c r="I41"/>
  <c r="I13"/>
  <c r="I35"/>
  <c r="E48"/>
  <c r="E50"/>
  <c r="I15"/>
  <c r="E28"/>
  <c r="L2"/>
  <c r="F10"/>
  <c r="H11"/>
  <c r="G15"/>
  <c r="J16"/>
  <c r="F19"/>
  <c r="D21"/>
  <c r="F22"/>
  <c r="K23"/>
  <c r="D26"/>
  <c r="G27"/>
  <c r="F30"/>
  <c r="G31"/>
  <c r="D33"/>
  <c r="F35"/>
  <c r="K36"/>
  <c r="J39"/>
  <c r="F47"/>
  <c r="H49"/>
  <c r="F51"/>
  <c r="F53"/>
  <c r="K57"/>
  <c r="J61"/>
  <c r="K64"/>
  <c r="H68"/>
  <c r="H69"/>
  <c r="H71"/>
  <c r="D10"/>
  <c r="G11"/>
  <c r="K12"/>
  <c r="K14"/>
  <c r="J17"/>
  <c r="D22"/>
  <c r="J23"/>
  <c r="G25"/>
  <c r="F27"/>
  <c r="G28"/>
  <c r="F31"/>
  <c r="D35"/>
  <c r="H36"/>
  <c r="J37"/>
  <c r="H39"/>
  <c r="D41"/>
  <c r="F43"/>
  <c r="F45"/>
  <c r="D56"/>
  <c r="J58"/>
  <c r="D60"/>
  <c r="F61"/>
  <c r="J62"/>
  <c r="H66"/>
  <c r="H67"/>
  <c r="G69"/>
  <c r="H70"/>
  <c r="O70" s="1"/>
  <c r="H72"/>
  <c r="D11"/>
  <c r="J14"/>
  <c r="K15"/>
  <c r="D17"/>
  <c r="G20"/>
  <c r="D27"/>
  <c r="F28"/>
  <c r="G29"/>
  <c r="D31"/>
  <c r="G32"/>
  <c r="G33"/>
  <c r="G40"/>
  <c r="D47"/>
  <c r="F48"/>
  <c r="F50"/>
  <c r="F52"/>
  <c r="F54"/>
  <c r="H57"/>
  <c r="H58"/>
  <c r="G59"/>
  <c r="H64"/>
  <c r="F67"/>
  <c r="L2" i="16"/>
  <c r="L5" i="1"/>
  <c r="M84" s="1"/>
  <c r="W78"/>
  <c r="W75" s="1"/>
  <c r="H72"/>
  <c r="E72"/>
  <c r="K71"/>
  <c r="H71"/>
  <c r="H70"/>
  <c r="F70"/>
  <c r="J69"/>
  <c r="H69"/>
  <c r="G69"/>
  <c r="K68"/>
  <c r="J68"/>
  <c r="H68"/>
  <c r="H67"/>
  <c r="F67"/>
  <c r="J66"/>
  <c r="I66"/>
  <c r="H66"/>
  <c r="H65"/>
  <c r="F65"/>
  <c r="K64"/>
  <c r="I64"/>
  <c r="H64"/>
  <c r="H63"/>
  <c r="E63"/>
  <c r="J62"/>
  <c r="G62"/>
  <c r="F62"/>
  <c r="J61"/>
  <c r="F61"/>
  <c r="D61"/>
  <c r="F60"/>
  <c r="E60"/>
  <c r="D60"/>
  <c r="G59"/>
  <c r="F59"/>
  <c r="E59"/>
  <c r="J58"/>
  <c r="H58"/>
  <c r="G58"/>
  <c r="K57"/>
  <c r="I57"/>
  <c r="H57"/>
  <c r="H56"/>
  <c r="E56"/>
  <c r="D56"/>
  <c r="F54"/>
  <c r="E54"/>
  <c r="F53"/>
  <c r="E53"/>
  <c r="F52"/>
  <c r="E52"/>
  <c r="F51"/>
  <c r="E51"/>
  <c r="F50"/>
  <c r="E50"/>
  <c r="H49"/>
  <c r="E49"/>
  <c r="F48"/>
  <c r="E48"/>
  <c r="F47"/>
  <c r="E47"/>
  <c r="D47"/>
  <c r="F46"/>
  <c r="E46"/>
  <c r="F45"/>
  <c r="E45"/>
  <c r="F44"/>
  <c r="E44"/>
  <c r="F43"/>
  <c r="E43"/>
  <c r="J41"/>
  <c r="I41"/>
  <c r="D41"/>
  <c r="G40"/>
  <c r="D40"/>
  <c r="J39"/>
  <c r="H39"/>
  <c r="E39"/>
  <c r="F38"/>
  <c r="E38"/>
  <c r="J37"/>
  <c r="I37"/>
  <c r="H37"/>
  <c r="K36"/>
  <c r="H36"/>
  <c r="E36"/>
  <c r="I35"/>
  <c r="F35"/>
  <c r="D35"/>
  <c r="G33"/>
  <c r="F33"/>
  <c r="D33"/>
  <c r="I32"/>
  <c r="G32"/>
  <c r="F32"/>
  <c r="G31"/>
  <c r="F31"/>
  <c r="D31"/>
  <c r="G30"/>
  <c r="F30"/>
  <c r="E30"/>
  <c r="G29"/>
  <c r="F29"/>
  <c r="E29"/>
  <c r="G28"/>
  <c r="F28"/>
  <c r="E28"/>
  <c r="G27"/>
  <c r="F27"/>
  <c r="D27"/>
  <c r="G26"/>
  <c r="D26"/>
  <c r="G25"/>
  <c r="E25"/>
  <c r="D25"/>
  <c r="K23"/>
  <c r="J23"/>
  <c r="E23"/>
  <c r="I22"/>
  <c r="F22"/>
  <c r="D22"/>
  <c r="I21"/>
  <c r="H21"/>
  <c r="D21"/>
  <c r="I20"/>
  <c r="G20"/>
  <c r="E20"/>
  <c r="F19"/>
  <c r="E19"/>
  <c r="J18"/>
  <c r="G18"/>
  <c r="E18"/>
  <c r="J17"/>
  <c r="D17"/>
  <c r="K16"/>
  <c r="J16"/>
  <c r="I16"/>
  <c r="K15"/>
  <c r="I15"/>
  <c r="G15"/>
  <c r="K14"/>
  <c r="J14"/>
  <c r="J13"/>
  <c r="I13"/>
  <c r="K12"/>
  <c r="I12"/>
  <c r="D12"/>
  <c r="H11"/>
  <c r="G11"/>
  <c r="D11"/>
  <c r="I10"/>
  <c r="F10"/>
  <c r="D10"/>
  <c r="L2"/>
  <c r="Q65" i="17" l="1"/>
  <c r="Q13" i="16"/>
  <c r="Q11"/>
  <c r="L5"/>
  <c r="N5" s="1"/>
  <c r="P5" s="1"/>
  <c r="O63" i="20"/>
  <c r="O65"/>
  <c r="O14" i="18"/>
  <c r="L5" i="17"/>
  <c r="N5" s="1"/>
  <c r="P5" s="1"/>
  <c r="P67" i="16"/>
  <c r="L51"/>
  <c r="N51" s="1"/>
  <c r="L5" i="23"/>
  <c r="N5" s="1"/>
  <c r="P5" s="1"/>
  <c r="L5" i="18"/>
  <c r="N5" s="1"/>
  <c r="P5" s="1"/>
  <c r="L5" i="19"/>
  <c r="N5" s="1"/>
  <c r="P5" s="1"/>
  <c r="L5" i="21"/>
  <c r="N5" s="1"/>
  <c r="P5" s="1"/>
  <c r="L5" i="22"/>
  <c r="N5" s="1"/>
  <c r="P5" s="1"/>
  <c r="L5" i="20"/>
  <c r="N5" s="1"/>
  <c r="P5" s="1"/>
  <c r="N5" i="1"/>
  <c r="O84" s="1"/>
  <c r="O63" i="17"/>
  <c r="P14" i="18"/>
  <c r="P71" i="16"/>
  <c r="L14" i="18"/>
  <c r="O68" i="17"/>
  <c r="O70" i="20"/>
  <c r="O13" i="16"/>
  <c r="P38"/>
  <c r="L70"/>
  <c r="M70" s="1"/>
  <c r="Q61" i="18"/>
  <c r="Q58" i="20"/>
  <c r="L65"/>
  <c r="Q31" i="16"/>
  <c r="L17"/>
  <c r="M17" s="1"/>
  <c r="Q65" i="20"/>
  <c r="P65"/>
  <c r="P12" i="23"/>
  <c r="P57" i="16"/>
  <c r="P62"/>
  <c r="P30"/>
  <c r="O72"/>
  <c r="L45"/>
  <c r="M45" s="1"/>
  <c r="O37"/>
  <c r="O38"/>
  <c r="P49"/>
  <c r="L49"/>
  <c r="N49" s="1"/>
  <c r="O38" i="17"/>
  <c r="O17" i="18"/>
  <c r="O68" i="20"/>
  <c r="O30" i="16"/>
  <c r="P35"/>
  <c r="P32"/>
  <c r="P43"/>
  <c r="P65"/>
  <c r="L64" i="18"/>
  <c r="O40" i="20"/>
  <c r="P51" i="16"/>
  <c r="P72"/>
  <c r="P25"/>
  <c r="P11"/>
  <c r="L23"/>
  <c r="N23" s="1"/>
  <c r="P62" i="17"/>
  <c r="O18"/>
  <c r="L11" i="16"/>
  <c r="M11" s="1"/>
  <c r="O11"/>
  <c r="O56"/>
  <c r="L27"/>
  <c r="N27" s="1"/>
  <c r="P17"/>
  <c r="P64"/>
  <c r="O16"/>
  <c r="O39"/>
  <c r="P69"/>
  <c r="P20"/>
  <c r="O53"/>
  <c r="O60"/>
  <c r="P36"/>
  <c r="P44"/>
  <c r="L61"/>
  <c r="N61" s="1"/>
  <c r="P22"/>
  <c r="O51"/>
  <c r="Q58" i="17"/>
  <c r="O18" i="23"/>
  <c r="P23" i="16"/>
  <c r="O23"/>
  <c r="P46"/>
  <c r="Q72"/>
  <c r="P13"/>
  <c r="P39"/>
  <c r="L72"/>
  <c r="M72" s="1"/>
  <c r="P70"/>
  <c r="L65" i="17"/>
  <c r="O32" i="23"/>
  <c r="O22" i="16"/>
  <c r="P10"/>
  <c r="Q52"/>
  <c r="L64"/>
  <c r="N64" s="1"/>
  <c r="O30" i="23"/>
  <c r="L53" i="16"/>
  <c r="N53" s="1"/>
  <c r="L19"/>
  <c r="M19" s="1"/>
  <c r="O49"/>
  <c r="O69"/>
  <c r="L12"/>
  <c r="N12" s="1"/>
  <c r="L67"/>
  <c r="N67" s="1"/>
  <c r="P27"/>
  <c r="P31"/>
  <c r="P37"/>
  <c r="L43"/>
  <c r="M43" s="1"/>
  <c r="O10"/>
  <c r="L31"/>
  <c r="N31" s="1"/>
  <c r="L25"/>
  <c r="N25" s="1"/>
  <c r="O41"/>
  <c r="I78"/>
  <c r="L57"/>
  <c r="N57" s="1"/>
  <c r="O66"/>
  <c r="L47"/>
  <c r="N47" s="1"/>
  <c r="P41"/>
  <c r="P14"/>
  <c r="P12"/>
  <c r="O27"/>
  <c r="O14"/>
  <c r="Q40"/>
  <c r="P28"/>
  <c r="P56"/>
  <c r="L36"/>
  <c r="N36" s="1"/>
  <c r="O17"/>
  <c r="Q23"/>
  <c r="P58"/>
  <c r="P63"/>
  <c r="P62" i="20"/>
  <c r="P16" i="16"/>
  <c r="P66"/>
  <c r="P19"/>
  <c r="L39"/>
  <c r="N39" s="1"/>
  <c r="P47"/>
  <c r="P61"/>
  <c r="L14"/>
  <c r="N14" s="1"/>
  <c r="O19"/>
  <c r="O36"/>
  <c r="O47"/>
  <c r="Q61"/>
  <c r="Q27"/>
  <c r="Q43"/>
  <c r="Q47"/>
  <c r="P65" i="17"/>
  <c r="O65"/>
  <c r="O28" i="22"/>
  <c r="O68"/>
  <c r="O58" i="23"/>
  <c r="O28"/>
  <c r="F78" i="16"/>
  <c r="Q37"/>
  <c r="P45"/>
  <c r="Q65"/>
  <c r="L65"/>
  <c r="Q19"/>
  <c r="O69" i="22"/>
  <c r="O59" i="23"/>
  <c r="O23"/>
  <c r="O15"/>
  <c r="P60" i="16"/>
  <c r="P53"/>
  <c r="L60"/>
  <c r="M60" s="1"/>
  <c r="O35"/>
  <c r="E78"/>
  <c r="L28"/>
  <c r="O15" i="22"/>
  <c r="O18"/>
  <c r="O64" i="23"/>
  <c r="O39"/>
  <c r="Q64" i="16"/>
  <c r="O25"/>
  <c r="H78"/>
  <c r="O57"/>
  <c r="O62"/>
  <c r="Q66"/>
  <c r="O18"/>
  <c r="Q51"/>
  <c r="Q60"/>
  <c r="Q58"/>
  <c r="O63"/>
  <c r="Q45"/>
  <c r="Q57"/>
  <c r="O12"/>
  <c r="G78"/>
  <c r="P40" i="17"/>
  <c r="O23" i="20"/>
  <c r="O23" i="21"/>
  <c r="O31" i="16"/>
  <c r="Q21"/>
  <c r="L32"/>
  <c r="O32" i="22"/>
  <c r="O29"/>
  <c r="O68" i="18"/>
  <c r="O29" i="16"/>
  <c r="P29"/>
  <c r="L29"/>
  <c r="L46"/>
  <c r="Q46"/>
  <c r="O46"/>
  <c r="O54"/>
  <c r="P54"/>
  <c r="L54"/>
  <c r="L71"/>
  <c r="Q71"/>
  <c r="O71"/>
  <c r="O28"/>
  <c r="J78"/>
  <c r="Q53"/>
  <c r="Q39"/>
  <c r="L58"/>
  <c r="L66"/>
  <c r="L37"/>
  <c r="O33"/>
  <c r="P33"/>
  <c r="L33"/>
  <c r="O52"/>
  <c r="P52"/>
  <c r="L52"/>
  <c r="L30"/>
  <c r="Q30"/>
  <c r="O68"/>
  <c r="L68"/>
  <c r="P68"/>
  <c r="O61"/>
  <c r="L20"/>
  <c r="Q36"/>
  <c r="Q59"/>
  <c r="O45"/>
  <c r="O65"/>
  <c r="Q18"/>
  <c r="O58"/>
  <c r="R58" s="1"/>
  <c r="L13"/>
  <c r="P18"/>
  <c r="Q12"/>
  <c r="K78"/>
  <c r="L63"/>
  <c r="Q63"/>
  <c r="Q67"/>
  <c r="O67"/>
  <c r="L44"/>
  <c r="O44"/>
  <c r="Q44"/>
  <c r="L69"/>
  <c r="Q69"/>
  <c r="O50"/>
  <c r="P50"/>
  <c r="L50"/>
  <c r="Q25"/>
  <c r="O43"/>
  <c r="Q28"/>
  <c r="Q29"/>
  <c r="L18"/>
  <c r="L16"/>
  <c r="Q16"/>
  <c r="O48"/>
  <c r="P48"/>
  <c r="L48"/>
  <c r="Q70"/>
  <c r="O70"/>
  <c r="O59"/>
  <c r="P59"/>
  <c r="L59"/>
  <c r="O15"/>
  <c r="L15"/>
  <c r="Q15"/>
  <c r="P15"/>
  <c r="L38"/>
  <c r="Q38"/>
  <c r="R38" s="1"/>
  <c r="O64"/>
  <c r="L62"/>
  <c r="O20"/>
  <c r="O32"/>
  <c r="Q68"/>
  <c r="Q20"/>
  <c r="Q32"/>
  <c r="Q62"/>
  <c r="Q33"/>
  <c r="L41"/>
  <c r="Q41"/>
  <c r="Q35"/>
  <c r="L35"/>
  <c r="N60"/>
  <c r="O21"/>
  <c r="P21"/>
  <c r="L21"/>
  <c r="L26"/>
  <c r="Q26"/>
  <c r="O26"/>
  <c r="Q17"/>
  <c r="Q22"/>
  <c r="L22"/>
  <c r="L10"/>
  <c r="D78"/>
  <c r="Q10"/>
  <c r="O40"/>
  <c r="P40"/>
  <c r="L40"/>
  <c r="Q56"/>
  <c r="L56"/>
  <c r="N19"/>
  <c r="M23"/>
  <c r="M67"/>
  <c r="M53"/>
  <c r="O58" i="22"/>
  <c r="Q32" i="17"/>
  <c r="O39"/>
  <c r="O72" i="20"/>
  <c r="O68" i="21"/>
  <c r="O59" i="22"/>
  <c r="O37"/>
  <c r="O61" i="18"/>
  <c r="O37" i="19"/>
  <c r="O37" i="21"/>
  <c r="O45" i="18"/>
  <c r="O36"/>
  <c r="O68" i="19"/>
  <c r="O38"/>
  <c r="L25" i="20"/>
  <c r="M25" s="1"/>
  <c r="O19"/>
  <c r="O58" i="21"/>
  <c r="O28"/>
  <c r="P20" i="17"/>
  <c r="R14" i="18"/>
  <c r="O62" i="19"/>
  <c r="L61" i="20"/>
  <c r="N61" s="1"/>
  <c r="O30"/>
  <c r="O67" i="18"/>
  <c r="O57"/>
  <c r="L61" i="17"/>
  <c r="N61" s="1"/>
  <c r="L37"/>
  <c r="M37" s="1"/>
  <c r="O30"/>
  <c r="O58" i="19"/>
  <c r="O62" i="21"/>
  <c r="O30"/>
  <c r="O18"/>
  <c r="O69" i="17"/>
  <c r="O25"/>
  <c r="P57" i="18"/>
  <c r="Q36"/>
  <c r="P60"/>
  <c r="O39" i="19"/>
  <c r="O29" i="21"/>
  <c r="O20" i="23"/>
  <c r="O29" i="17"/>
  <c r="O72"/>
  <c r="O66" i="18"/>
  <c r="L39"/>
  <c r="P69"/>
  <c r="P17"/>
  <c r="L45"/>
  <c r="O59" i="19"/>
  <c r="O69"/>
  <c r="O57" i="20"/>
  <c r="O32"/>
  <c r="O39"/>
  <c r="O16"/>
  <c r="O32" i="21"/>
  <c r="O15"/>
  <c r="O39" i="22"/>
  <c r="O20"/>
  <c r="O29" i="23"/>
  <c r="O68"/>
  <c r="O23" i="17"/>
  <c r="P12"/>
  <c r="O70" i="18"/>
  <c r="Q47"/>
  <c r="P31"/>
  <c r="O58"/>
  <c r="L57"/>
  <c r="M57" s="1"/>
  <c r="O32"/>
  <c r="O36" i="20"/>
  <c r="O59" i="21"/>
  <c r="O66"/>
  <c r="Q61"/>
  <c r="O16"/>
  <c r="O19" i="17"/>
  <c r="L37" i="20"/>
  <c r="M37" s="1"/>
  <c r="O64" i="21"/>
  <c r="O61" i="22"/>
  <c r="O66" i="23"/>
  <c r="O19"/>
  <c r="O39" i="21"/>
  <c r="O14"/>
  <c r="O14" i="20"/>
  <c r="L62"/>
  <c r="M62" s="1"/>
  <c r="O20"/>
  <c r="O59"/>
  <c r="O29"/>
  <c r="O20" i="19"/>
  <c r="O61"/>
  <c r="O15"/>
  <c r="O11" i="18"/>
  <c r="R72"/>
  <c r="S72" s="1"/>
  <c r="L61"/>
  <c r="O26"/>
  <c r="O62"/>
  <c r="Q43"/>
  <c r="L31"/>
  <c r="O23"/>
  <c r="O16"/>
  <c r="J78"/>
  <c r="L27"/>
  <c r="M27" s="1"/>
  <c r="P61"/>
  <c r="O67" i="17"/>
  <c r="O15"/>
  <c r="Q12"/>
  <c r="O36"/>
  <c r="Q37"/>
  <c r="O67" i="23"/>
  <c r="O20" i="21"/>
  <c r="O28" i="20"/>
  <c r="O67"/>
  <c r="M61" i="23"/>
  <c r="N61"/>
  <c r="O45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5"/>
  <c r="L65"/>
  <c r="Q65"/>
  <c r="O52"/>
  <c r="P52"/>
  <c r="L52"/>
  <c r="Q52"/>
  <c r="P37"/>
  <c r="L37"/>
  <c r="Q37"/>
  <c r="G78"/>
  <c r="F78"/>
  <c r="Q12"/>
  <c r="Q72"/>
  <c r="L70"/>
  <c r="O65"/>
  <c r="Q61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O54"/>
  <c r="P54"/>
  <c r="L54"/>
  <c r="Q54"/>
  <c r="P32"/>
  <c r="L32"/>
  <c r="Q32"/>
  <c r="O25"/>
  <c r="P25"/>
  <c r="L25"/>
  <c r="Q25"/>
  <c r="K78"/>
  <c r="O36"/>
  <c r="H78"/>
  <c r="O69"/>
  <c r="O38"/>
  <c r="J78"/>
  <c r="Q70"/>
  <c r="O61"/>
  <c r="Q64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2"/>
  <c r="L62"/>
  <c r="Q62"/>
  <c r="O48"/>
  <c r="P48"/>
  <c r="L48"/>
  <c r="Q48"/>
  <c r="O40"/>
  <c r="P40"/>
  <c r="L40"/>
  <c r="Q40"/>
  <c r="P28"/>
  <c r="L28"/>
  <c r="Q28"/>
  <c r="O14"/>
  <c r="O57"/>
  <c r="L12"/>
  <c r="O26"/>
  <c r="P72"/>
  <c r="O12"/>
  <c r="P61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D78"/>
  <c r="O10"/>
  <c r="P59"/>
  <c r="L59"/>
  <c r="Q59"/>
  <c r="P46"/>
  <c r="L46"/>
  <c r="Q46"/>
  <c r="O46"/>
  <c r="P29"/>
  <c r="L29"/>
  <c r="Q29"/>
  <c r="P18"/>
  <c r="L18"/>
  <c r="Q18"/>
  <c r="E78"/>
  <c r="P58"/>
  <c r="L58"/>
  <c r="Q58"/>
  <c r="O50"/>
  <c r="P50"/>
  <c r="L50"/>
  <c r="Q50"/>
  <c r="P20"/>
  <c r="L20"/>
  <c r="Q20"/>
  <c r="O63"/>
  <c r="I78"/>
  <c r="L72"/>
  <c r="P70"/>
  <c r="Q64" i="22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5"/>
  <c r="L65"/>
  <c r="Q65"/>
  <c r="O52"/>
  <c r="P52"/>
  <c r="L52"/>
  <c r="Q52"/>
  <c r="P37"/>
  <c r="L37"/>
  <c r="Q37"/>
  <c r="P20"/>
  <c r="L20"/>
  <c r="Q20"/>
  <c r="O14"/>
  <c r="O57"/>
  <c r="F78"/>
  <c r="O30"/>
  <c r="O26"/>
  <c r="P61"/>
  <c r="L72"/>
  <c r="P70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D78"/>
  <c r="O10"/>
  <c r="P59"/>
  <c r="L59"/>
  <c r="Q59"/>
  <c r="P46"/>
  <c r="L46"/>
  <c r="Q46"/>
  <c r="O46"/>
  <c r="P29"/>
  <c r="L29"/>
  <c r="Q29"/>
  <c r="P18"/>
  <c r="L18"/>
  <c r="Q18"/>
  <c r="E78"/>
  <c r="O54"/>
  <c r="P54"/>
  <c r="L54"/>
  <c r="Q54"/>
  <c r="P32"/>
  <c r="L32"/>
  <c r="Q32"/>
  <c r="P28"/>
  <c r="L28"/>
  <c r="Q28"/>
  <c r="H78"/>
  <c r="O38"/>
  <c r="I78"/>
  <c r="L61"/>
  <c r="Q72"/>
  <c r="L70"/>
  <c r="O45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2"/>
  <c r="L62"/>
  <c r="Q62"/>
  <c r="O48"/>
  <c r="P48"/>
  <c r="L48"/>
  <c r="Q48"/>
  <c r="O40"/>
  <c r="P40"/>
  <c r="L40"/>
  <c r="Q40"/>
  <c r="O12"/>
  <c r="P12"/>
  <c r="L12"/>
  <c r="Q12"/>
  <c r="O67"/>
  <c r="G78"/>
  <c r="O64"/>
  <c r="O23"/>
  <c r="O19"/>
  <c r="O66"/>
  <c r="O16"/>
  <c r="O65"/>
  <c r="Q61"/>
  <c r="Q70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P58"/>
  <c r="L58"/>
  <c r="Q58"/>
  <c r="O50"/>
  <c r="P50"/>
  <c r="L50"/>
  <c r="Q50"/>
  <c r="O25"/>
  <c r="P25"/>
  <c r="L25"/>
  <c r="Q25"/>
  <c r="K78"/>
  <c r="O36"/>
  <c r="O63"/>
  <c r="J78"/>
  <c r="P72"/>
  <c r="O45" i="21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5"/>
  <c r="L65"/>
  <c r="Q65"/>
  <c r="O52"/>
  <c r="P52"/>
  <c r="L52"/>
  <c r="Q52"/>
  <c r="P37"/>
  <c r="L37"/>
  <c r="Q37"/>
  <c r="P20"/>
  <c r="L20"/>
  <c r="Q20"/>
  <c r="O67"/>
  <c r="G78"/>
  <c r="O19"/>
  <c r="O26"/>
  <c r="P70"/>
  <c r="O61"/>
  <c r="P72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O54"/>
  <c r="P54"/>
  <c r="L54"/>
  <c r="Q54"/>
  <c r="P32"/>
  <c r="L32"/>
  <c r="Q32"/>
  <c r="P28"/>
  <c r="L28"/>
  <c r="Q28"/>
  <c r="K78"/>
  <c r="O36"/>
  <c r="O69"/>
  <c r="O38"/>
  <c r="I78"/>
  <c r="L70"/>
  <c r="P61"/>
  <c r="L72"/>
  <c r="Q64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2"/>
  <c r="L62"/>
  <c r="Q62"/>
  <c r="O48"/>
  <c r="P48"/>
  <c r="L48"/>
  <c r="Q48"/>
  <c r="O40"/>
  <c r="P40"/>
  <c r="L40"/>
  <c r="Q40"/>
  <c r="O12"/>
  <c r="P12"/>
  <c r="L12"/>
  <c r="Q12"/>
  <c r="O57"/>
  <c r="F78"/>
  <c r="Q70"/>
  <c r="L61"/>
  <c r="Q72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D78"/>
  <c r="O10"/>
  <c r="P59"/>
  <c r="L59"/>
  <c r="Q59"/>
  <c r="P46"/>
  <c r="L46"/>
  <c r="Q46"/>
  <c r="O46"/>
  <c r="P29"/>
  <c r="L29"/>
  <c r="Q29"/>
  <c r="P18"/>
  <c r="L18"/>
  <c r="Q18"/>
  <c r="E78"/>
  <c r="P58"/>
  <c r="L58"/>
  <c r="Q58"/>
  <c r="O50"/>
  <c r="P50"/>
  <c r="L50"/>
  <c r="Q50"/>
  <c r="O25"/>
  <c r="P25"/>
  <c r="L25"/>
  <c r="Q25"/>
  <c r="H78"/>
  <c r="O63"/>
  <c r="J78"/>
  <c r="O65"/>
  <c r="N25" i="20"/>
  <c r="Q64"/>
  <c r="L64"/>
  <c r="P64"/>
  <c r="Q47"/>
  <c r="O47"/>
  <c r="P47"/>
  <c r="L47"/>
  <c r="Q31"/>
  <c r="O31"/>
  <c r="P31"/>
  <c r="L31"/>
  <c r="Q11"/>
  <c r="O11"/>
  <c r="P11"/>
  <c r="L11"/>
  <c r="P22"/>
  <c r="L22"/>
  <c r="Q22"/>
  <c r="O22"/>
  <c r="P71"/>
  <c r="L71"/>
  <c r="Q71"/>
  <c r="O71"/>
  <c r="O33"/>
  <c r="P33"/>
  <c r="L33"/>
  <c r="Q33"/>
  <c r="P26"/>
  <c r="L26"/>
  <c r="Q26"/>
  <c r="P16"/>
  <c r="L16"/>
  <c r="Q16"/>
  <c r="P30"/>
  <c r="L30"/>
  <c r="Q30"/>
  <c r="Q49"/>
  <c r="O49"/>
  <c r="L49"/>
  <c r="P49"/>
  <c r="Q23"/>
  <c r="L23"/>
  <c r="P23"/>
  <c r="Q39"/>
  <c r="L39"/>
  <c r="P39"/>
  <c r="G78"/>
  <c r="F78"/>
  <c r="Q32"/>
  <c r="P40"/>
  <c r="O25"/>
  <c r="L70"/>
  <c r="P58"/>
  <c r="P32"/>
  <c r="Q61"/>
  <c r="Q37"/>
  <c r="O64"/>
  <c r="O62"/>
  <c r="Q67"/>
  <c r="P67"/>
  <c r="L67"/>
  <c r="Q57"/>
  <c r="P57"/>
  <c r="L57"/>
  <c r="Q27"/>
  <c r="O27"/>
  <c r="L27"/>
  <c r="P27"/>
  <c r="P14"/>
  <c r="L14"/>
  <c r="Q14"/>
  <c r="P69"/>
  <c r="L69"/>
  <c r="Q69"/>
  <c r="P56"/>
  <c r="L56"/>
  <c r="Q56"/>
  <c r="O56"/>
  <c r="O21"/>
  <c r="P21"/>
  <c r="L21"/>
  <c r="Q21"/>
  <c r="O50"/>
  <c r="P50"/>
  <c r="L50"/>
  <c r="Q50"/>
  <c r="O48"/>
  <c r="P48"/>
  <c r="L48"/>
  <c r="Q48"/>
  <c r="O54"/>
  <c r="P54"/>
  <c r="L54"/>
  <c r="Q54"/>
  <c r="P18"/>
  <c r="L18"/>
  <c r="Q18"/>
  <c r="E78"/>
  <c r="P38"/>
  <c r="L38"/>
  <c r="Q38"/>
  <c r="P63"/>
  <c r="L63"/>
  <c r="Q63"/>
  <c r="Q36"/>
  <c r="L36"/>
  <c r="P36"/>
  <c r="K78"/>
  <c r="H78"/>
  <c r="J78"/>
  <c r="L40"/>
  <c r="P25"/>
  <c r="O12"/>
  <c r="L58"/>
  <c r="L32"/>
  <c r="O61"/>
  <c r="O58"/>
  <c r="R58" s="1"/>
  <c r="O18"/>
  <c r="O26"/>
  <c r="N65"/>
  <c r="M65"/>
  <c r="P41"/>
  <c r="L41"/>
  <c r="Q41"/>
  <c r="O41"/>
  <c r="P35"/>
  <c r="L35"/>
  <c r="Q35"/>
  <c r="O35"/>
  <c r="P68"/>
  <c r="L68"/>
  <c r="Q68"/>
  <c r="P15"/>
  <c r="L15"/>
  <c r="Q15"/>
  <c r="P28"/>
  <c r="L28"/>
  <c r="Q28"/>
  <c r="P46"/>
  <c r="L46"/>
  <c r="Q46"/>
  <c r="O46"/>
  <c r="Q53"/>
  <c r="O53"/>
  <c r="L53"/>
  <c r="P53"/>
  <c r="O45"/>
  <c r="P45"/>
  <c r="L45"/>
  <c r="Q45"/>
  <c r="Q40"/>
  <c r="P12"/>
  <c r="Q70"/>
  <c r="I78"/>
  <c r="P37"/>
  <c r="P61"/>
  <c r="Q12"/>
  <c r="O69"/>
  <c r="O37"/>
  <c r="O15"/>
  <c r="Q62"/>
  <c r="O17"/>
  <c r="P17"/>
  <c r="L17"/>
  <c r="Q17"/>
  <c r="P66"/>
  <c r="L66"/>
  <c r="Q66"/>
  <c r="P60"/>
  <c r="L60"/>
  <c r="O60"/>
  <c r="Q60"/>
  <c r="P10"/>
  <c r="L10"/>
  <c r="Q10"/>
  <c r="D78"/>
  <c r="O10"/>
  <c r="O52"/>
  <c r="P52"/>
  <c r="L52"/>
  <c r="Q52"/>
  <c r="P20"/>
  <c r="L20"/>
  <c r="Q20"/>
  <c r="P13"/>
  <c r="L13"/>
  <c r="Q13"/>
  <c r="O13"/>
  <c r="P29"/>
  <c r="L29"/>
  <c r="Q29"/>
  <c r="P44"/>
  <c r="L44"/>
  <c r="Q44"/>
  <c r="O44"/>
  <c r="P59"/>
  <c r="L59"/>
  <c r="Q59"/>
  <c r="Q19"/>
  <c r="L19"/>
  <c r="P19"/>
  <c r="Q51"/>
  <c r="O51"/>
  <c r="L51"/>
  <c r="P51"/>
  <c r="O43"/>
  <c r="P43"/>
  <c r="L43"/>
  <c r="Q43"/>
  <c r="Q72"/>
  <c r="P72"/>
  <c r="L72"/>
  <c r="L12"/>
  <c r="P70"/>
  <c r="O66"/>
  <c r="Q25"/>
  <c r="Q64" i="19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5"/>
  <c r="L65"/>
  <c r="Q65"/>
  <c r="O52"/>
  <c r="P52"/>
  <c r="L52"/>
  <c r="Q52"/>
  <c r="P37"/>
  <c r="L37"/>
  <c r="Q37"/>
  <c r="P20"/>
  <c r="L20"/>
  <c r="Q20"/>
  <c r="O14"/>
  <c r="O57"/>
  <c r="F78"/>
  <c r="O30"/>
  <c r="O26"/>
  <c r="P61"/>
  <c r="L72"/>
  <c r="P70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D78"/>
  <c r="O10"/>
  <c r="P59"/>
  <c r="L59"/>
  <c r="Q59"/>
  <c r="P46"/>
  <c r="L46"/>
  <c r="Q46"/>
  <c r="O46"/>
  <c r="P29"/>
  <c r="L29"/>
  <c r="Q29"/>
  <c r="P18"/>
  <c r="L18"/>
  <c r="Q18"/>
  <c r="E78"/>
  <c r="O54"/>
  <c r="P54"/>
  <c r="L54"/>
  <c r="Q54"/>
  <c r="P32"/>
  <c r="L32"/>
  <c r="Q32"/>
  <c r="P28"/>
  <c r="L28"/>
  <c r="Q28"/>
  <c r="H78"/>
  <c r="I78"/>
  <c r="L61"/>
  <c r="Q72"/>
  <c r="L70"/>
  <c r="O45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2"/>
  <c r="L62"/>
  <c r="Q62"/>
  <c r="O48"/>
  <c r="P48"/>
  <c r="L48"/>
  <c r="Q48"/>
  <c r="O40"/>
  <c r="P40"/>
  <c r="L40"/>
  <c r="Q40"/>
  <c r="O12"/>
  <c r="P12"/>
  <c r="L12"/>
  <c r="Q12"/>
  <c r="O29"/>
  <c r="O18"/>
  <c r="O67"/>
  <c r="G78"/>
  <c r="O64"/>
  <c r="O23"/>
  <c r="O19"/>
  <c r="O66"/>
  <c r="O16"/>
  <c r="O65"/>
  <c r="Q61"/>
  <c r="Q70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P58"/>
  <c r="L58"/>
  <c r="Q58"/>
  <c r="O50"/>
  <c r="P50"/>
  <c r="L50"/>
  <c r="Q50"/>
  <c r="O25"/>
  <c r="P25"/>
  <c r="L25"/>
  <c r="Q25"/>
  <c r="O32"/>
  <c r="O28"/>
  <c r="K78"/>
  <c r="O36"/>
  <c r="O63"/>
  <c r="J78"/>
  <c r="P72"/>
  <c r="O43" i="18"/>
  <c r="P45"/>
  <c r="L60"/>
  <c r="N60" s="1"/>
  <c r="O20"/>
  <c r="P47"/>
  <c r="L23"/>
  <c r="M23" s="1"/>
  <c r="Q23"/>
  <c r="N31"/>
  <c r="M31"/>
  <c r="N27"/>
  <c r="N39"/>
  <c r="M39"/>
  <c r="N64"/>
  <c r="M64"/>
  <c r="Q46"/>
  <c r="O46"/>
  <c r="L46"/>
  <c r="P46"/>
  <c r="Q38"/>
  <c r="L38"/>
  <c r="P38"/>
  <c r="M45"/>
  <c r="N45"/>
  <c r="P39"/>
  <c r="P64"/>
  <c r="L11"/>
  <c r="Q39"/>
  <c r="O51"/>
  <c r="P51"/>
  <c r="L51"/>
  <c r="Q51"/>
  <c r="N61"/>
  <c r="M61"/>
  <c r="P52"/>
  <c r="L52"/>
  <c r="Q52"/>
  <c r="O52"/>
  <c r="P37"/>
  <c r="L37"/>
  <c r="Q37"/>
  <c r="P28"/>
  <c r="L28"/>
  <c r="Q28"/>
  <c r="Q66"/>
  <c r="L66"/>
  <c r="P66"/>
  <c r="O53"/>
  <c r="P53"/>
  <c r="L53"/>
  <c r="Q53"/>
  <c r="Q41"/>
  <c r="O41"/>
  <c r="L41"/>
  <c r="P41"/>
  <c r="Q35"/>
  <c r="O35"/>
  <c r="P35"/>
  <c r="L35"/>
  <c r="Q71"/>
  <c r="P71"/>
  <c r="L71"/>
  <c r="O71"/>
  <c r="P59"/>
  <c r="L59"/>
  <c r="O59"/>
  <c r="Q59"/>
  <c r="P33"/>
  <c r="L33"/>
  <c r="Q33"/>
  <c r="O33"/>
  <c r="Q26"/>
  <c r="L26"/>
  <c r="P26"/>
  <c r="P18"/>
  <c r="L18"/>
  <c r="Q18"/>
  <c r="E78"/>
  <c r="O18"/>
  <c r="P54"/>
  <c r="L54"/>
  <c r="Q54"/>
  <c r="O54"/>
  <c r="P40"/>
  <c r="L40"/>
  <c r="Q40"/>
  <c r="O40"/>
  <c r="P32"/>
  <c r="L32"/>
  <c r="Q32"/>
  <c r="P65"/>
  <c r="L65"/>
  <c r="Q65"/>
  <c r="Q69"/>
  <c r="O28"/>
  <c r="K78"/>
  <c r="O64"/>
  <c r="O39"/>
  <c r="L12"/>
  <c r="O69"/>
  <c r="I78"/>
  <c r="Q64"/>
  <c r="O12"/>
  <c r="L47"/>
  <c r="P36"/>
  <c r="R36" s="1"/>
  <c r="O19"/>
  <c r="O27"/>
  <c r="Q45"/>
  <c r="L17"/>
  <c r="L69"/>
  <c r="P43"/>
  <c r="O60"/>
  <c r="P15"/>
  <c r="L15"/>
  <c r="Q15"/>
  <c r="Q56"/>
  <c r="O56"/>
  <c r="L56"/>
  <c r="P56"/>
  <c r="Q30"/>
  <c r="P30"/>
  <c r="L30"/>
  <c r="Q22"/>
  <c r="O22"/>
  <c r="L22"/>
  <c r="P22"/>
  <c r="Q16"/>
  <c r="P16"/>
  <c r="L16"/>
  <c r="N72"/>
  <c r="M72"/>
  <c r="P21"/>
  <c r="L21"/>
  <c r="Q21"/>
  <c r="O21"/>
  <c r="P48"/>
  <c r="L48"/>
  <c r="Q48"/>
  <c r="O48"/>
  <c r="O25"/>
  <c r="P25"/>
  <c r="L25"/>
  <c r="Q25"/>
  <c r="P62"/>
  <c r="L62"/>
  <c r="Q62"/>
  <c r="P67"/>
  <c r="L67"/>
  <c r="Q67"/>
  <c r="S14"/>
  <c r="M14"/>
  <c r="T14" s="1"/>
  <c r="N14"/>
  <c r="U14" s="1"/>
  <c r="H78"/>
  <c r="P12"/>
  <c r="O63"/>
  <c r="O30"/>
  <c r="Q12"/>
  <c r="O15"/>
  <c r="P23"/>
  <c r="Q11"/>
  <c r="Q57"/>
  <c r="L36"/>
  <c r="F78"/>
  <c r="P27"/>
  <c r="O65"/>
  <c r="Q17"/>
  <c r="L43"/>
  <c r="Q60"/>
  <c r="O49"/>
  <c r="P49"/>
  <c r="L49"/>
  <c r="Q49"/>
  <c r="P19"/>
  <c r="L19"/>
  <c r="Q19"/>
  <c r="Q10"/>
  <c r="D78"/>
  <c r="O10"/>
  <c r="L10"/>
  <c r="P10"/>
  <c r="P68"/>
  <c r="L68"/>
  <c r="Q68"/>
  <c r="Q63"/>
  <c r="P63"/>
  <c r="L63"/>
  <c r="Q44"/>
  <c r="O44"/>
  <c r="P44"/>
  <c r="L44"/>
  <c r="P29"/>
  <c r="L29"/>
  <c r="Q29"/>
  <c r="O29"/>
  <c r="Q13"/>
  <c r="O13"/>
  <c r="L13"/>
  <c r="P13"/>
  <c r="P58"/>
  <c r="L58"/>
  <c r="Q58"/>
  <c r="P50"/>
  <c r="L50"/>
  <c r="Q50"/>
  <c r="O50"/>
  <c r="P20"/>
  <c r="L20"/>
  <c r="Q20"/>
  <c r="P70"/>
  <c r="L70"/>
  <c r="Q70"/>
  <c r="G78"/>
  <c r="O37"/>
  <c r="Q27"/>
  <c r="O47"/>
  <c r="O38"/>
  <c r="Q31"/>
  <c r="O31"/>
  <c r="P11"/>
  <c r="M61" i="17"/>
  <c r="Q31"/>
  <c r="O31"/>
  <c r="L31"/>
  <c r="P31"/>
  <c r="O17"/>
  <c r="P17"/>
  <c r="L17"/>
  <c r="Q17"/>
  <c r="P66"/>
  <c r="L66"/>
  <c r="Q66"/>
  <c r="P60"/>
  <c r="L60"/>
  <c r="O60"/>
  <c r="Q60"/>
  <c r="P10"/>
  <c r="L10"/>
  <c r="Q10"/>
  <c r="D78"/>
  <c r="O10"/>
  <c r="P46"/>
  <c r="L46"/>
  <c r="Q46"/>
  <c r="O46"/>
  <c r="Q53"/>
  <c r="P53"/>
  <c r="O53"/>
  <c r="L53"/>
  <c r="Q23"/>
  <c r="L23"/>
  <c r="P23"/>
  <c r="Q39"/>
  <c r="L39"/>
  <c r="P39"/>
  <c r="L62"/>
  <c r="P58"/>
  <c r="L40"/>
  <c r="P25"/>
  <c r="O12"/>
  <c r="L20"/>
  <c r="P37"/>
  <c r="Q62"/>
  <c r="P61"/>
  <c r="O66"/>
  <c r="O20"/>
  <c r="O37"/>
  <c r="Q25"/>
  <c r="Q64"/>
  <c r="P64"/>
  <c r="L64"/>
  <c r="Q47"/>
  <c r="O47"/>
  <c r="P47"/>
  <c r="L47"/>
  <c r="Q11"/>
  <c r="O11"/>
  <c r="P11"/>
  <c r="L11"/>
  <c r="P22"/>
  <c r="L22"/>
  <c r="Q22"/>
  <c r="O22"/>
  <c r="P71"/>
  <c r="L71"/>
  <c r="Q71"/>
  <c r="O71"/>
  <c r="O33"/>
  <c r="P33"/>
  <c r="L33"/>
  <c r="Q33"/>
  <c r="P26"/>
  <c r="L26"/>
  <c r="Q26"/>
  <c r="O26"/>
  <c r="O50"/>
  <c r="P50"/>
  <c r="L50"/>
  <c r="Q50"/>
  <c r="P13"/>
  <c r="L13"/>
  <c r="Q13"/>
  <c r="O13"/>
  <c r="O54"/>
  <c r="P54"/>
  <c r="L54"/>
  <c r="Q54"/>
  <c r="P29"/>
  <c r="L29"/>
  <c r="Q29"/>
  <c r="P44"/>
  <c r="L44"/>
  <c r="Q44"/>
  <c r="O44"/>
  <c r="P59"/>
  <c r="L59"/>
  <c r="Q59"/>
  <c r="Q19"/>
  <c r="P19"/>
  <c r="L19"/>
  <c r="Q51"/>
  <c r="O51"/>
  <c r="L51"/>
  <c r="P51"/>
  <c r="O52"/>
  <c r="P52"/>
  <c r="L52"/>
  <c r="Q52"/>
  <c r="Q36"/>
  <c r="P36"/>
  <c r="L36"/>
  <c r="G78"/>
  <c r="F78"/>
  <c r="Q20"/>
  <c r="Q40"/>
  <c r="L25"/>
  <c r="P70"/>
  <c r="O61"/>
  <c r="O32"/>
  <c r="O59"/>
  <c r="Q67"/>
  <c r="P67"/>
  <c r="L67"/>
  <c r="Q57"/>
  <c r="P57"/>
  <c r="L57"/>
  <c r="Q27"/>
  <c r="O27"/>
  <c r="L27"/>
  <c r="P27"/>
  <c r="P14"/>
  <c r="L14"/>
  <c r="Q14"/>
  <c r="P69"/>
  <c r="L69"/>
  <c r="Q69"/>
  <c r="P56"/>
  <c r="L56"/>
  <c r="Q56"/>
  <c r="O56"/>
  <c r="O21"/>
  <c r="P21"/>
  <c r="L21"/>
  <c r="Q21"/>
  <c r="P28"/>
  <c r="L28"/>
  <c r="Q28"/>
  <c r="O48"/>
  <c r="P48"/>
  <c r="L48"/>
  <c r="Q48"/>
  <c r="P16"/>
  <c r="L16"/>
  <c r="Q16"/>
  <c r="P30"/>
  <c r="L30"/>
  <c r="Q30"/>
  <c r="Q49"/>
  <c r="O49"/>
  <c r="L49"/>
  <c r="P49"/>
  <c r="O45"/>
  <c r="P45"/>
  <c r="L45"/>
  <c r="Q45"/>
  <c r="K78"/>
  <c r="L58"/>
  <c r="H78"/>
  <c r="J78"/>
  <c r="O40"/>
  <c r="L12"/>
  <c r="L70"/>
  <c r="P32"/>
  <c r="Q61"/>
  <c r="O57"/>
  <c r="O64"/>
  <c r="O62"/>
  <c r="M65"/>
  <c r="N65"/>
  <c r="P41"/>
  <c r="L41"/>
  <c r="Q41"/>
  <c r="O41"/>
  <c r="P35"/>
  <c r="L35"/>
  <c r="Q35"/>
  <c r="O35"/>
  <c r="P68"/>
  <c r="L68"/>
  <c r="Q68"/>
  <c r="P15"/>
  <c r="L15"/>
  <c r="Q15"/>
  <c r="P18"/>
  <c r="L18"/>
  <c r="Q18"/>
  <c r="E78"/>
  <c r="P38"/>
  <c r="L38"/>
  <c r="Q38"/>
  <c r="P63"/>
  <c r="L63"/>
  <c r="Q63"/>
  <c r="O43"/>
  <c r="P43"/>
  <c r="L43"/>
  <c r="Q43"/>
  <c r="Q72"/>
  <c r="P72"/>
  <c r="L72"/>
  <c r="O14"/>
  <c r="I78"/>
  <c r="O16"/>
  <c r="Q70"/>
  <c r="L32"/>
  <c r="O28"/>
  <c r="O58"/>
  <c r="O51" i="1"/>
  <c r="Q70"/>
  <c r="Q72"/>
  <c r="Q49"/>
  <c r="O18"/>
  <c r="L13"/>
  <c r="M13" s="1"/>
  <c r="L38"/>
  <c r="M38" s="1"/>
  <c r="Q17"/>
  <c r="O71"/>
  <c r="P57"/>
  <c r="P61"/>
  <c r="P16"/>
  <c r="Q19"/>
  <c r="O63"/>
  <c r="Q20"/>
  <c r="Q25"/>
  <c r="O38"/>
  <c r="L46"/>
  <c r="N46" s="1"/>
  <c r="L69"/>
  <c r="N69" s="1"/>
  <c r="O70"/>
  <c r="O72"/>
  <c r="Q28"/>
  <c r="P46"/>
  <c r="O10"/>
  <c r="G78"/>
  <c r="K78"/>
  <c r="P13"/>
  <c r="O49"/>
  <c r="P53"/>
  <c r="Q67"/>
  <c r="O68"/>
  <c r="O19"/>
  <c r="O35"/>
  <c r="P38"/>
  <c r="O50"/>
  <c r="O52"/>
  <c r="O54"/>
  <c r="O58"/>
  <c r="O59"/>
  <c r="O62"/>
  <c r="L63"/>
  <c r="N63" s="1"/>
  <c r="O14"/>
  <c r="P11"/>
  <c r="P15"/>
  <c r="P21"/>
  <c r="P29"/>
  <c r="O37"/>
  <c r="O44"/>
  <c r="Q45"/>
  <c r="P51"/>
  <c r="Q58"/>
  <c r="Q62"/>
  <c r="O66"/>
  <c r="P66"/>
  <c r="P71"/>
  <c r="O16"/>
  <c r="O32"/>
  <c r="O15"/>
  <c r="L16"/>
  <c r="N16" s="1"/>
  <c r="E78"/>
  <c r="Q32"/>
  <c r="O41"/>
  <c r="P44"/>
  <c r="P49"/>
  <c r="R49" s="1"/>
  <c r="Q53"/>
  <c r="P59"/>
  <c r="Q63"/>
  <c r="P64"/>
  <c r="O65"/>
  <c r="L66"/>
  <c r="N66" s="1"/>
  <c r="P68"/>
  <c r="L71"/>
  <c r="M71" s="1"/>
  <c r="Q26"/>
  <c r="P31"/>
  <c r="P36"/>
  <c r="I78"/>
  <c r="Q12"/>
  <c r="J78"/>
  <c r="O22"/>
  <c r="O30"/>
  <c r="P30"/>
  <c r="Q37"/>
  <c r="F78"/>
  <c r="H78"/>
  <c r="O13"/>
  <c r="Q14"/>
  <c r="P19"/>
  <c r="O20"/>
  <c r="P23"/>
  <c r="P27"/>
  <c r="O28"/>
  <c r="O29"/>
  <c r="L30"/>
  <c r="N30" s="1"/>
  <c r="P33"/>
  <c r="Q38"/>
  <c r="P39"/>
  <c r="Q43"/>
  <c r="L44"/>
  <c r="M44" s="1"/>
  <c r="O46"/>
  <c r="P47"/>
  <c r="O48"/>
  <c r="Q51"/>
  <c r="O53"/>
  <c r="O56"/>
  <c r="O60"/>
  <c r="P63"/>
  <c r="O67"/>
  <c r="O69"/>
  <c r="P69"/>
  <c r="L26"/>
  <c r="M26" s="1"/>
  <c r="L22"/>
  <c r="N22" s="1"/>
  <c r="O33"/>
  <c r="L35"/>
  <c r="N35" s="1"/>
  <c r="O40"/>
  <c r="Q11"/>
  <c r="L41"/>
  <c r="N41" s="1"/>
  <c r="L56"/>
  <c r="M56" s="1"/>
  <c r="O12"/>
  <c r="O25"/>
  <c r="L10"/>
  <c r="M10" s="1"/>
  <c r="P26"/>
  <c r="P35"/>
  <c r="P41"/>
  <c r="P60"/>
  <c r="P22"/>
  <c r="O26"/>
  <c r="L60"/>
  <c r="M60" s="1"/>
  <c r="P10"/>
  <c r="O21"/>
  <c r="P56"/>
  <c r="O11"/>
  <c r="L12"/>
  <c r="P12"/>
  <c r="N13"/>
  <c r="L14"/>
  <c r="P14"/>
  <c r="Q15"/>
  <c r="L17"/>
  <c r="P17"/>
  <c r="Q18"/>
  <c r="L20"/>
  <c r="P20"/>
  <c r="Q21"/>
  <c r="O23"/>
  <c r="L25"/>
  <c r="P25"/>
  <c r="O27"/>
  <c r="L28"/>
  <c r="P28"/>
  <c r="Q29"/>
  <c r="O31"/>
  <c r="L32"/>
  <c r="P32"/>
  <c r="Q33"/>
  <c r="O36"/>
  <c r="L37"/>
  <c r="P37"/>
  <c r="O39"/>
  <c r="Q40"/>
  <c r="L43"/>
  <c r="P43"/>
  <c r="L45"/>
  <c r="P45"/>
  <c r="O47"/>
  <c r="Q48"/>
  <c r="Q50"/>
  <c r="Q52"/>
  <c r="Q54"/>
  <c r="O57"/>
  <c r="L58"/>
  <c r="P58"/>
  <c r="Q59"/>
  <c r="O61"/>
  <c r="L62"/>
  <c r="P62"/>
  <c r="O64"/>
  <c r="Q65"/>
  <c r="L67"/>
  <c r="P67"/>
  <c r="Q68"/>
  <c r="L70"/>
  <c r="P70"/>
  <c r="L72"/>
  <c r="P72"/>
  <c r="D78"/>
  <c r="Q10"/>
  <c r="Q13"/>
  <c r="L15"/>
  <c r="Q16"/>
  <c r="O17"/>
  <c r="L18"/>
  <c r="P18"/>
  <c r="L21"/>
  <c r="Q22"/>
  <c r="L29"/>
  <c r="Q30"/>
  <c r="L33"/>
  <c r="Q35"/>
  <c r="L40"/>
  <c r="P40"/>
  <c r="Q41"/>
  <c r="O43"/>
  <c r="Q44"/>
  <c r="O45"/>
  <c r="Q46"/>
  <c r="L48"/>
  <c r="P48"/>
  <c r="L50"/>
  <c r="P50"/>
  <c r="L52"/>
  <c r="P52"/>
  <c r="L54"/>
  <c r="P54"/>
  <c r="Q56"/>
  <c r="L59"/>
  <c r="Q60"/>
  <c r="L65"/>
  <c r="P65"/>
  <c r="Q66"/>
  <c r="L68"/>
  <c r="Q69"/>
  <c r="Q71"/>
  <c r="Q23"/>
  <c r="Q27"/>
  <c r="Q31"/>
  <c r="Q36"/>
  <c r="Q39"/>
  <c r="Q47"/>
  <c r="Q57"/>
  <c r="Q61"/>
  <c r="Q64"/>
  <c r="L11"/>
  <c r="L19"/>
  <c r="L23"/>
  <c r="L27"/>
  <c r="L31"/>
  <c r="L36"/>
  <c r="L39"/>
  <c r="L47"/>
  <c r="L49"/>
  <c r="L51"/>
  <c r="L53"/>
  <c r="L57"/>
  <c r="L61"/>
  <c r="L64"/>
  <c r="N72" i="16" l="1"/>
  <c r="R49"/>
  <c r="S49" s="1"/>
  <c r="M57"/>
  <c r="M27"/>
  <c r="N43"/>
  <c r="M47"/>
  <c r="R35"/>
  <c r="R61"/>
  <c r="U61" s="1"/>
  <c r="M36"/>
  <c r="M51"/>
  <c r="M14"/>
  <c r="P5" i="1"/>
  <c r="Q84" s="1"/>
  <c r="R37" i="16"/>
  <c r="S37" s="1"/>
  <c r="R65" i="20"/>
  <c r="S65" s="1"/>
  <c r="R13" i="16"/>
  <c r="M49"/>
  <c r="R43"/>
  <c r="S43" s="1"/>
  <c r="N70"/>
  <c r="M64"/>
  <c r="R39"/>
  <c r="S39" s="1"/>
  <c r="R65" i="17"/>
  <c r="S65" s="1"/>
  <c r="R12" i="23"/>
  <c r="N11" i="16"/>
  <c r="R41"/>
  <c r="S41" s="1"/>
  <c r="R63"/>
  <c r="S63" s="1"/>
  <c r="R51"/>
  <c r="S51" s="1"/>
  <c r="R11"/>
  <c r="S11" s="1"/>
  <c r="R60"/>
  <c r="T60" s="1"/>
  <c r="R23"/>
  <c r="S23" s="1"/>
  <c r="R72"/>
  <c r="S72" s="1"/>
  <c r="N45"/>
  <c r="R46"/>
  <c r="S46" s="1"/>
  <c r="R47"/>
  <c r="S47" s="1"/>
  <c r="R45"/>
  <c r="M25"/>
  <c r="R31"/>
  <c r="S31" s="1"/>
  <c r="R61" i="18"/>
  <c r="S61" s="1"/>
  <c r="M12" i="16"/>
  <c r="R56"/>
  <c r="S56" s="1"/>
  <c r="R30"/>
  <c r="S30" s="1"/>
  <c r="R53"/>
  <c r="S53" s="1"/>
  <c r="N17"/>
  <c r="R57" i="18"/>
  <c r="S57" s="1"/>
  <c r="R69" i="16"/>
  <c r="S69" s="1"/>
  <c r="R62"/>
  <c r="R25"/>
  <c r="S25" s="1"/>
  <c r="M60" i="18"/>
  <c r="N37" i="20"/>
  <c r="J75" i="16"/>
  <c r="R37" i="20"/>
  <c r="R27" i="16"/>
  <c r="S27" s="1"/>
  <c r="R14"/>
  <c r="S14" s="1"/>
  <c r="R19"/>
  <c r="S19" s="1"/>
  <c r="U72" i="18"/>
  <c r="N62" i="20"/>
  <c r="R65" i="16"/>
  <c r="S65" s="1"/>
  <c r="M61" i="20"/>
  <c r="R38" i="22"/>
  <c r="R68"/>
  <c r="S68" s="1"/>
  <c r="M61" i="16"/>
  <c r="M31"/>
  <c r="M39"/>
  <c r="R17"/>
  <c r="S17" s="1"/>
  <c r="R40" i="17"/>
  <c r="S40" s="1"/>
  <c r="R22" i="16"/>
  <c r="U72"/>
  <c r="T72"/>
  <c r="R71"/>
  <c r="S71" s="1"/>
  <c r="S13"/>
  <c r="R57"/>
  <c r="S57" s="1"/>
  <c r="R36"/>
  <c r="S36" s="1"/>
  <c r="R66"/>
  <c r="S66" s="1"/>
  <c r="R37" i="22"/>
  <c r="S37" s="1"/>
  <c r="R64" i="16"/>
  <c r="S64" s="1"/>
  <c r="R16"/>
  <c r="S16" s="1"/>
  <c r="R12"/>
  <c r="S12" s="1"/>
  <c r="M69" i="1"/>
  <c r="N38"/>
  <c r="R68"/>
  <c r="S68" s="1"/>
  <c r="N60"/>
  <c r="N57" i="18"/>
  <c r="T72"/>
  <c r="R17"/>
  <c r="S17" s="1"/>
  <c r="R50" i="16"/>
  <c r="S50" s="1"/>
  <c r="N71" i="1"/>
  <c r="R57" i="22"/>
  <c r="S57" s="1"/>
  <c r="T11" i="16"/>
  <c r="P74"/>
  <c r="P78" s="1"/>
  <c r="S62"/>
  <c r="R28"/>
  <c r="S28" s="1"/>
  <c r="M65"/>
  <c r="N65"/>
  <c r="R44"/>
  <c r="S44" s="1"/>
  <c r="R18"/>
  <c r="S18" s="1"/>
  <c r="S38"/>
  <c r="R32"/>
  <c r="S32" s="1"/>
  <c r="R20"/>
  <c r="S20" s="1"/>
  <c r="R67"/>
  <c r="S67" s="1"/>
  <c r="S58"/>
  <c r="N28"/>
  <c r="M28"/>
  <c r="R65" i="21"/>
  <c r="S65" s="1"/>
  <c r="R36" i="22"/>
  <c r="S36" s="1"/>
  <c r="R64" i="19"/>
  <c r="S64" s="1"/>
  <c r="S35" i="16"/>
  <c r="M32"/>
  <c r="N32"/>
  <c r="R70" i="21"/>
  <c r="S70" s="1"/>
  <c r="R68" i="16"/>
  <c r="S68" s="1"/>
  <c r="R33"/>
  <c r="S33" s="1"/>
  <c r="R26"/>
  <c r="S26" s="1"/>
  <c r="R72" i="23"/>
  <c r="S72" s="1"/>
  <c r="T53" i="16"/>
  <c r="R11" i="18"/>
  <c r="S11" s="1"/>
  <c r="R23"/>
  <c r="S23" s="1"/>
  <c r="U53" i="16"/>
  <c r="R40"/>
  <c r="S40" s="1"/>
  <c r="R70"/>
  <c r="S70" s="1"/>
  <c r="R48"/>
  <c r="S48" s="1"/>
  <c r="R52"/>
  <c r="S52" s="1"/>
  <c r="R54"/>
  <c r="S54" s="1"/>
  <c r="R63" i="23"/>
  <c r="S63" s="1"/>
  <c r="R66" i="22"/>
  <c r="S66" s="1"/>
  <c r="R72" i="21"/>
  <c r="S72" s="1"/>
  <c r="R59" i="19"/>
  <c r="S59" s="1"/>
  <c r="R67" i="17"/>
  <c r="S67" s="1"/>
  <c r="R19"/>
  <c r="R12"/>
  <c r="N37"/>
  <c r="R64"/>
  <c r="S64" s="1"/>
  <c r="N62" i="16"/>
  <c r="U62" s="1"/>
  <c r="M62"/>
  <c r="T62" s="1"/>
  <c r="M48"/>
  <c r="N48"/>
  <c r="N16"/>
  <c r="M16"/>
  <c r="N50"/>
  <c r="M50"/>
  <c r="N69"/>
  <c r="M69"/>
  <c r="N37"/>
  <c r="M37"/>
  <c r="N46"/>
  <c r="M46"/>
  <c r="O74"/>
  <c r="O78" s="1"/>
  <c r="Q74"/>
  <c r="Q78" s="1"/>
  <c r="M54"/>
  <c r="N54"/>
  <c r="R29"/>
  <c r="S29" s="1"/>
  <c r="M59"/>
  <c r="N59"/>
  <c r="N44"/>
  <c r="M44"/>
  <c r="N38"/>
  <c r="U38" s="1"/>
  <c r="M38"/>
  <c r="T38" s="1"/>
  <c r="M20"/>
  <c r="N20"/>
  <c r="M68"/>
  <c r="N68"/>
  <c r="M52"/>
  <c r="N52"/>
  <c r="M58"/>
  <c r="T58" s="1"/>
  <c r="N58"/>
  <c r="U58" s="1"/>
  <c r="M71"/>
  <c r="N71"/>
  <c r="T43"/>
  <c r="S45"/>
  <c r="R15"/>
  <c r="S15" s="1"/>
  <c r="N63"/>
  <c r="U63" s="1"/>
  <c r="M63"/>
  <c r="M13"/>
  <c r="T13" s="1"/>
  <c r="N13"/>
  <c r="U13" s="1"/>
  <c r="M15"/>
  <c r="N15"/>
  <c r="M18"/>
  <c r="N18"/>
  <c r="M30"/>
  <c r="N30"/>
  <c r="M33"/>
  <c r="N33"/>
  <c r="N66"/>
  <c r="M66"/>
  <c r="M29"/>
  <c r="N29"/>
  <c r="U51"/>
  <c r="T45"/>
  <c r="R10"/>
  <c r="S10" s="1"/>
  <c r="R21"/>
  <c r="S21" s="1"/>
  <c r="R59"/>
  <c r="S59" s="1"/>
  <c r="M56"/>
  <c r="N56"/>
  <c r="M10"/>
  <c r="N10"/>
  <c r="M41"/>
  <c r="N41"/>
  <c r="N21"/>
  <c r="U21" s="1"/>
  <c r="M21"/>
  <c r="L78"/>
  <c r="N40"/>
  <c r="M40"/>
  <c r="M26"/>
  <c r="N26"/>
  <c r="M22"/>
  <c r="N22"/>
  <c r="M35"/>
  <c r="T35" s="1"/>
  <c r="N35"/>
  <c r="U35" s="1"/>
  <c r="T49"/>
  <c r="U49"/>
  <c r="T64"/>
  <c r="R37" i="19"/>
  <c r="S37" s="1"/>
  <c r="R38"/>
  <c r="S38" s="1"/>
  <c r="R70" i="23"/>
  <c r="S70" s="1"/>
  <c r="R14"/>
  <c r="S14" s="1"/>
  <c r="R70" i="17"/>
  <c r="S70" s="1"/>
  <c r="R63" i="19"/>
  <c r="S63" s="1"/>
  <c r="R32"/>
  <c r="S32" s="1"/>
  <c r="R14" i="21"/>
  <c r="S14" s="1"/>
  <c r="R72" i="22"/>
  <c r="S72" s="1"/>
  <c r="R59"/>
  <c r="S59" s="1"/>
  <c r="R28" i="17"/>
  <c r="S28" s="1"/>
  <c r="R47" i="18"/>
  <c r="R65" i="19"/>
  <c r="S65" s="1"/>
  <c r="R58" i="17"/>
  <c r="S58" s="1"/>
  <c r="R37" i="18"/>
  <c r="S37" s="1"/>
  <c r="R65"/>
  <c r="S65" s="1"/>
  <c r="R72" i="19"/>
  <c r="S72" s="1"/>
  <c r="R14" i="20"/>
  <c r="S14" s="1"/>
  <c r="R15" i="21"/>
  <c r="S15" s="1"/>
  <c r="R28" i="22"/>
  <c r="S28" s="1"/>
  <c r="R58" i="23"/>
  <c r="R18"/>
  <c r="S18" s="1"/>
  <c r="R62"/>
  <c r="R15"/>
  <c r="S15" s="1"/>
  <c r="R52" i="21"/>
  <c r="S52" s="1"/>
  <c r="R13"/>
  <c r="S13" s="1"/>
  <c r="R71"/>
  <c r="S71" s="1"/>
  <c r="R68" i="18"/>
  <c r="S68" s="1"/>
  <c r="R66"/>
  <c r="S66" s="1"/>
  <c r="R13" i="17"/>
  <c r="S13" s="1"/>
  <c r="R26"/>
  <c r="R25"/>
  <c r="S25" s="1"/>
  <c r="R39"/>
  <c r="S39" s="1"/>
  <c r="R60"/>
  <c r="S60" s="1"/>
  <c r="R31"/>
  <c r="R67" i="18"/>
  <c r="S67" s="1"/>
  <c r="R45"/>
  <c r="S45" s="1"/>
  <c r="R62" i="19"/>
  <c r="S62" s="1"/>
  <c r="R66" i="21"/>
  <c r="S66" s="1"/>
  <c r="R37" i="23"/>
  <c r="S37" s="1"/>
  <c r="R36" i="21"/>
  <c r="S36" s="1"/>
  <c r="R62" i="22"/>
  <c r="S62" s="1"/>
  <c r="R20" i="23"/>
  <c r="S20" s="1"/>
  <c r="R50"/>
  <c r="S50" s="1"/>
  <c r="R49"/>
  <c r="R66"/>
  <c r="S66" s="1"/>
  <c r="R17"/>
  <c r="S17" s="1"/>
  <c r="R57"/>
  <c r="S57" s="1"/>
  <c r="R40"/>
  <c r="R48"/>
  <c r="S48" s="1"/>
  <c r="R35"/>
  <c r="S35" s="1"/>
  <c r="R36"/>
  <c r="S36" s="1"/>
  <c r="R19"/>
  <c r="S19" s="1"/>
  <c r="R62" i="17"/>
  <c r="S62" s="1"/>
  <c r="R36" i="19"/>
  <c r="R66" i="20"/>
  <c r="S66" s="1"/>
  <c r="R35"/>
  <c r="S35" s="1"/>
  <c r="R18"/>
  <c r="S18" s="1"/>
  <c r="R63" i="21"/>
  <c r="S63" s="1"/>
  <c r="R47" i="22"/>
  <c r="S47" s="1"/>
  <c r="R65"/>
  <c r="S65" s="1"/>
  <c r="R28" i="19"/>
  <c r="S28" s="1"/>
  <c r="R23"/>
  <c r="S23" s="1"/>
  <c r="R57"/>
  <c r="S57" s="1"/>
  <c r="R67" i="20"/>
  <c r="S67" s="1"/>
  <c r="R11"/>
  <c r="S11" s="1"/>
  <c r="R31"/>
  <c r="R63" i="22"/>
  <c r="S63" s="1"/>
  <c r="R21" i="23"/>
  <c r="R67" i="19"/>
  <c r="S67" s="1"/>
  <c r="R68"/>
  <c r="S68" s="1"/>
  <c r="R20" i="20"/>
  <c r="S20" s="1"/>
  <c r="R58" i="21"/>
  <c r="S58" s="1"/>
  <c r="R18"/>
  <c r="S18" s="1"/>
  <c r="R57"/>
  <c r="S57" s="1"/>
  <c r="R62"/>
  <c r="S62" s="1"/>
  <c r="R30"/>
  <c r="S30" s="1"/>
  <c r="R69"/>
  <c r="S69" s="1"/>
  <c r="R32"/>
  <c r="S32" s="1"/>
  <c r="R37"/>
  <c r="S37" s="1"/>
  <c r="R15" i="22"/>
  <c r="S15" s="1"/>
  <c r="R16"/>
  <c r="S16" s="1"/>
  <c r="R64"/>
  <c r="S64" s="1"/>
  <c r="R41" i="23"/>
  <c r="S41" s="1"/>
  <c r="R23"/>
  <c r="S23" s="1"/>
  <c r="R26"/>
  <c r="S26" s="1"/>
  <c r="R11"/>
  <c r="S11" s="1"/>
  <c r="R69"/>
  <c r="R39"/>
  <c r="S39" s="1"/>
  <c r="R68" i="17"/>
  <c r="S68" s="1"/>
  <c r="R27"/>
  <c r="R11"/>
  <c r="S11" s="1"/>
  <c r="R66"/>
  <c r="S66" s="1"/>
  <c r="R46"/>
  <c r="S46" s="1"/>
  <c r="R18" i="18"/>
  <c r="S18" s="1"/>
  <c r="R15" i="19"/>
  <c r="S15" s="1"/>
  <c r="R16"/>
  <c r="S16" s="1"/>
  <c r="R19" i="20"/>
  <c r="S19" s="1"/>
  <c r="R29"/>
  <c r="S29" s="1"/>
  <c r="R47"/>
  <c r="S47" s="1"/>
  <c r="R12" i="21"/>
  <c r="R40"/>
  <c r="S40" s="1"/>
  <c r="R48"/>
  <c r="S48" s="1"/>
  <c r="R68"/>
  <c r="S68" s="1"/>
  <c r="R35"/>
  <c r="S35" s="1"/>
  <c r="R56"/>
  <c r="S56" s="1"/>
  <c r="R60"/>
  <c r="S60" s="1"/>
  <c r="R64"/>
  <c r="S64" s="1"/>
  <c r="R20"/>
  <c r="S20" s="1"/>
  <c r="R45"/>
  <c r="S45" s="1"/>
  <c r="R51" i="22"/>
  <c r="S51" s="1"/>
  <c r="R52"/>
  <c r="S52" s="1"/>
  <c r="R35"/>
  <c r="S35" s="1"/>
  <c r="R56"/>
  <c r="S56" s="1"/>
  <c r="R60"/>
  <c r="S60" s="1"/>
  <c r="R30" i="23"/>
  <c r="S30" s="1"/>
  <c r="R32" i="22"/>
  <c r="S32" s="1"/>
  <c r="R18"/>
  <c r="S18" s="1"/>
  <c r="R30"/>
  <c r="S30" s="1"/>
  <c r="R47" i="23"/>
  <c r="S47" s="1"/>
  <c r="R52"/>
  <c r="S52" s="1"/>
  <c r="R13"/>
  <c r="S13" s="1"/>
  <c r="R71"/>
  <c r="S71" s="1"/>
  <c r="R22"/>
  <c r="S22" s="1"/>
  <c r="R41" i="20"/>
  <c r="S41" s="1"/>
  <c r="R63"/>
  <c r="S63" s="1"/>
  <c r="R56"/>
  <c r="S56" s="1"/>
  <c r="R40"/>
  <c r="S40" s="1"/>
  <c r="R23"/>
  <c r="S23" s="1"/>
  <c r="R16"/>
  <c r="S16" s="1"/>
  <c r="R71"/>
  <c r="S71" s="1"/>
  <c r="R22"/>
  <c r="S22" s="1"/>
  <c r="R21" i="21"/>
  <c r="S21" s="1"/>
  <c r="R27"/>
  <c r="S27" s="1"/>
  <c r="R12" i="22"/>
  <c r="S12" s="1"/>
  <c r="R40"/>
  <c r="S40" s="1"/>
  <c r="R48"/>
  <c r="S48" s="1"/>
  <c r="R13"/>
  <c r="S13" s="1"/>
  <c r="R71"/>
  <c r="S71" s="1"/>
  <c r="R22"/>
  <c r="S22" s="1"/>
  <c r="R11"/>
  <c r="S11" s="1"/>
  <c r="M16" i="1"/>
  <c r="R63"/>
  <c r="U63" s="1"/>
  <c r="R14" i="17"/>
  <c r="S14" s="1"/>
  <c r="R15"/>
  <c r="S15" s="1"/>
  <c r="U65"/>
  <c r="R29"/>
  <c r="R23"/>
  <c r="S23" s="1"/>
  <c r="R66" i="19"/>
  <c r="S66" s="1"/>
  <c r="R68" i="20"/>
  <c r="S68" s="1"/>
  <c r="R26"/>
  <c r="S26" s="1"/>
  <c r="R36"/>
  <c r="S36" s="1"/>
  <c r="R38"/>
  <c r="S38" s="1"/>
  <c r="R61" i="23"/>
  <c r="S61" s="1"/>
  <c r="R58" i="22"/>
  <c r="S58" s="1"/>
  <c r="R53"/>
  <c r="S53" s="1"/>
  <c r="R69"/>
  <c r="S69" s="1"/>
  <c r="R29"/>
  <c r="S29" s="1"/>
  <c r="R67"/>
  <c r="S67" s="1"/>
  <c r="R26" i="21"/>
  <c r="S26" s="1"/>
  <c r="R23"/>
  <c r="S23" s="1"/>
  <c r="R11"/>
  <c r="S11" s="1"/>
  <c r="R39"/>
  <c r="S39" s="1"/>
  <c r="R51"/>
  <c r="S51" s="1"/>
  <c r="J75" i="20"/>
  <c r="R15"/>
  <c r="S15" s="1"/>
  <c r="R64"/>
  <c r="S64" s="1"/>
  <c r="R69"/>
  <c r="S69" s="1"/>
  <c r="R28"/>
  <c r="S28" s="1"/>
  <c r="R72"/>
  <c r="S72" s="1"/>
  <c r="R39" i="19"/>
  <c r="S39" s="1"/>
  <c r="R47"/>
  <c r="S47" s="1"/>
  <c r="R18"/>
  <c r="R51"/>
  <c r="S51" s="1"/>
  <c r="R52"/>
  <c r="S52" s="1"/>
  <c r="R35"/>
  <c r="S35" s="1"/>
  <c r="R56"/>
  <c r="S56" s="1"/>
  <c r="R60"/>
  <c r="S60" s="1"/>
  <c r="R30"/>
  <c r="S30" s="1"/>
  <c r="R53"/>
  <c r="S53" s="1"/>
  <c r="R12"/>
  <c r="S12" s="1"/>
  <c r="R40"/>
  <c r="S40" s="1"/>
  <c r="R48"/>
  <c r="S48" s="1"/>
  <c r="R13"/>
  <c r="S13" s="1"/>
  <c r="R71"/>
  <c r="S71" s="1"/>
  <c r="R22"/>
  <c r="S22" s="1"/>
  <c r="R11"/>
  <c r="S11" s="1"/>
  <c r="R12" i="18"/>
  <c r="S12" s="1"/>
  <c r="R16"/>
  <c r="R69"/>
  <c r="S69" s="1"/>
  <c r="R41"/>
  <c r="S41" s="1"/>
  <c r="R31"/>
  <c r="S31" s="1"/>
  <c r="R70"/>
  <c r="S70" s="1"/>
  <c r="R58"/>
  <c r="S58" s="1"/>
  <c r="R32"/>
  <c r="R26"/>
  <c r="S26" s="1"/>
  <c r="N23"/>
  <c r="R39"/>
  <c r="T39" s="1"/>
  <c r="R16" i="17"/>
  <c r="S16" s="1"/>
  <c r="R72"/>
  <c r="S72" s="1"/>
  <c r="R69"/>
  <c r="S69" s="1"/>
  <c r="R35"/>
  <c r="S35" s="1"/>
  <c r="R41"/>
  <c r="R57"/>
  <c r="S57" s="1"/>
  <c r="R49"/>
  <c r="S49" s="1"/>
  <c r="R16" i="23"/>
  <c r="S16" s="1"/>
  <c r="R68"/>
  <c r="S68" s="1"/>
  <c r="R64"/>
  <c r="S64" s="1"/>
  <c r="R27"/>
  <c r="S27" s="1"/>
  <c r="R45"/>
  <c r="S45" s="1"/>
  <c r="R29"/>
  <c r="S29" s="1"/>
  <c r="R67"/>
  <c r="R59"/>
  <c r="S59" s="1"/>
  <c r="R28"/>
  <c r="S28" s="1"/>
  <c r="R32"/>
  <c r="S32" s="1"/>
  <c r="R39" i="22"/>
  <c r="S39" s="1"/>
  <c r="R23"/>
  <c r="S23" s="1"/>
  <c r="R61"/>
  <c r="S61" s="1"/>
  <c r="R54"/>
  <c r="S54" s="1"/>
  <c r="R46"/>
  <c r="S46" s="1"/>
  <c r="R43"/>
  <c r="S43" s="1"/>
  <c r="R70"/>
  <c r="S70" s="1"/>
  <c r="R20"/>
  <c r="S20" s="1"/>
  <c r="R16" i="21"/>
  <c r="S16" s="1"/>
  <c r="R22"/>
  <c r="S22" s="1"/>
  <c r="R46"/>
  <c r="S46" s="1"/>
  <c r="R43"/>
  <c r="S43" s="1"/>
  <c r="R31"/>
  <c r="S31" s="1"/>
  <c r="R29"/>
  <c r="S29" s="1"/>
  <c r="R59"/>
  <c r="S59" s="1"/>
  <c r="R28"/>
  <c r="S28" s="1"/>
  <c r="R39" i="20"/>
  <c r="S39" s="1"/>
  <c r="R70"/>
  <c r="S70" s="1"/>
  <c r="R57"/>
  <c r="S57" s="1"/>
  <c r="R51"/>
  <c r="S51" s="1"/>
  <c r="R44"/>
  <c r="S44" s="1"/>
  <c r="R60"/>
  <c r="S60" s="1"/>
  <c r="R59"/>
  <c r="S59" s="1"/>
  <c r="R46"/>
  <c r="S46" s="1"/>
  <c r="R30"/>
  <c r="S30" s="1"/>
  <c r="R27"/>
  <c r="S27" s="1"/>
  <c r="R32"/>
  <c r="S32" s="1"/>
  <c r="R58" i="19"/>
  <c r="S58" s="1"/>
  <c r="R69"/>
  <c r="S69" s="1"/>
  <c r="R20"/>
  <c r="S20" s="1"/>
  <c r="R54"/>
  <c r="S54" s="1"/>
  <c r="R46"/>
  <c r="S46" s="1"/>
  <c r="R43"/>
  <c r="S43" s="1"/>
  <c r="R70"/>
  <c r="S70" s="1"/>
  <c r="R29"/>
  <c r="S29" s="1"/>
  <c r="R61"/>
  <c r="S61" s="1"/>
  <c r="M29" i="23"/>
  <c r="N29"/>
  <c r="M46"/>
  <c r="N46"/>
  <c r="M10"/>
  <c r="L78"/>
  <c r="N10"/>
  <c r="M23"/>
  <c r="N23"/>
  <c r="N43"/>
  <c r="M43"/>
  <c r="N67"/>
  <c r="S67"/>
  <c r="M67"/>
  <c r="N28"/>
  <c r="U28" s="1"/>
  <c r="M28"/>
  <c r="M68"/>
  <c r="N68"/>
  <c r="M64"/>
  <c r="N64"/>
  <c r="N25"/>
  <c r="M25"/>
  <c r="N32"/>
  <c r="M32"/>
  <c r="M19"/>
  <c r="N19"/>
  <c r="M69"/>
  <c r="N69"/>
  <c r="S69"/>
  <c r="N14"/>
  <c r="M14"/>
  <c r="R33"/>
  <c r="S33" s="1"/>
  <c r="R44"/>
  <c r="S44" s="1"/>
  <c r="R31"/>
  <c r="S31" s="1"/>
  <c r="U61"/>
  <c r="M59"/>
  <c r="N59"/>
  <c r="M16"/>
  <c r="N16"/>
  <c r="U16" s="1"/>
  <c r="M41"/>
  <c r="N41"/>
  <c r="U41" s="1"/>
  <c r="S40"/>
  <c r="M40"/>
  <c r="N40"/>
  <c r="M48"/>
  <c r="N48"/>
  <c r="N62"/>
  <c r="S62"/>
  <c r="M62"/>
  <c r="M30"/>
  <c r="N30"/>
  <c r="M35"/>
  <c r="N35"/>
  <c r="M56"/>
  <c r="N56"/>
  <c r="M60"/>
  <c r="N60"/>
  <c r="M54"/>
  <c r="N54"/>
  <c r="M15"/>
  <c r="N15"/>
  <c r="M53"/>
  <c r="N53"/>
  <c r="N70"/>
  <c r="M70"/>
  <c r="M51"/>
  <c r="N51"/>
  <c r="Q74"/>
  <c r="Q78" s="1"/>
  <c r="N20"/>
  <c r="M20"/>
  <c r="M66"/>
  <c r="T66" s="1"/>
  <c r="N66"/>
  <c r="N12"/>
  <c r="U12" s="1"/>
  <c r="S12"/>
  <c r="M12"/>
  <c r="T12" s="1"/>
  <c r="M33"/>
  <c r="N33"/>
  <c r="M38"/>
  <c r="N38"/>
  <c r="M44"/>
  <c r="N44"/>
  <c r="S21"/>
  <c r="M21"/>
  <c r="N21"/>
  <c r="M26"/>
  <c r="N26"/>
  <c r="M27"/>
  <c r="N27"/>
  <c r="M31"/>
  <c r="N31"/>
  <c r="M39"/>
  <c r="N39"/>
  <c r="N37"/>
  <c r="M37"/>
  <c r="M36"/>
  <c r="N36"/>
  <c r="N45"/>
  <c r="M45"/>
  <c r="R46"/>
  <c r="S46" s="1"/>
  <c r="J75"/>
  <c r="R43"/>
  <c r="S43" s="1"/>
  <c r="R38"/>
  <c r="S38" s="1"/>
  <c r="R25"/>
  <c r="S25" s="1"/>
  <c r="R65"/>
  <c r="S65" s="1"/>
  <c r="N72"/>
  <c r="M72"/>
  <c r="M50"/>
  <c r="N50"/>
  <c r="N58"/>
  <c r="S58"/>
  <c r="M58"/>
  <c r="M18"/>
  <c r="N18"/>
  <c r="O74"/>
  <c r="R10"/>
  <c r="S10" s="1"/>
  <c r="M49"/>
  <c r="N49"/>
  <c r="S49"/>
  <c r="N17"/>
  <c r="M17"/>
  <c r="M63"/>
  <c r="N63"/>
  <c r="M11"/>
  <c r="N11"/>
  <c r="U11" s="1"/>
  <c r="M57"/>
  <c r="T57" s="1"/>
  <c r="N57"/>
  <c r="M47"/>
  <c r="N47"/>
  <c r="M52"/>
  <c r="N52"/>
  <c r="M65"/>
  <c r="N65"/>
  <c r="M13"/>
  <c r="N13"/>
  <c r="M71"/>
  <c r="N71"/>
  <c r="M22"/>
  <c r="N22"/>
  <c r="P74"/>
  <c r="P78" s="1"/>
  <c r="R56"/>
  <c r="S56" s="1"/>
  <c r="R60"/>
  <c r="S60" s="1"/>
  <c r="R54"/>
  <c r="S54" s="1"/>
  <c r="R53"/>
  <c r="S53" s="1"/>
  <c r="R51"/>
  <c r="S51" s="1"/>
  <c r="M47" i="22"/>
  <c r="N47"/>
  <c r="M51"/>
  <c r="N51"/>
  <c r="M61"/>
  <c r="N61"/>
  <c r="M54"/>
  <c r="N54"/>
  <c r="M29"/>
  <c r="N29"/>
  <c r="M46"/>
  <c r="N46"/>
  <c r="M10"/>
  <c r="L78"/>
  <c r="N10"/>
  <c r="M23"/>
  <c r="N23"/>
  <c r="N43"/>
  <c r="M43"/>
  <c r="N67"/>
  <c r="M67"/>
  <c r="N20"/>
  <c r="M20"/>
  <c r="M63"/>
  <c r="N63"/>
  <c r="M11"/>
  <c r="N11"/>
  <c r="M57"/>
  <c r="N57"/>
  <c r="N25"/>
  <c r="M25"/>
  <c r="M50"/>
  <c r="N50"/>
  <c r="N58"/>
  <c r="M58"/>
  <c r="M19"/>
  <c r="N19"/>
  <c r="M69"/>
  <c r="N69"/>
  <c r="M36"/>
  <c r="N36"/>
  <c r="N45"/>
  <c r="M45"/>
  <c r="M59"/>
  <c r="N59"/>
  <c r="M16"/>
  <c r="N16"/>
  <c r="M41"/>
  <c r="N41"/>
  <c r="N72"/>
  <c r="M72"/>
  <c r="N37"/>
  <c r="M37"/>
  <c r="M68"/>
  <c r="N68"/>
  <c r="M64"/>
  <c r="N64"/>
  <c r="R21"/>
  <c r="S21" s="1"/>
  <c r="R27"/>
  <c r="S27" s="1"/>
  <c r="R31"/>
  <c r="S31" s="1"/>
  <c r="Q74"/>
  <c r="Q78" s="1"/>
  <c r="R49"/>
  <c r="S49" s="1"/>
  <c r="R17"/>
  <c r="S17" s="1"/>
  <c r="R33"/>
  <c r="S33" s="1"/>
  <c r="R44"/>
  <c r="S44" s="1"/>
  <c r="M15"/>
  <c r="N15"/>
  <c r="M53"/>
  <c r="N53"/>
  <c r="N12"/>
  <c r="M12"/>
  <c r="M40"/>
  <c r="N40"/>
  <c r="M48"/>
  <c r="N48"/>
  <c r="N62"/>
  <c r="M62"/>
  <c r="M13"/>
  <c r="N13"/>
  <c r="M71"/>
  <c r="N71"/>
  <c r="M22"/>
  <c r="N22"/>
  <c r="N70"/>
  <c r="M70"/>
  <c r="N28"/>
  <c r="M28"/>
  <c r="M66"/>
  <c r="N66"/>
  <c r="M52"/>
  <c r="N52"/>
  <c r="M65"/>
  <c r="N65"/>
  <c r="M30"/>
  <c r="N30"/>
  <c r="M35"/>
  <c r="N35"/>
  <c r="M56"/>
  <c r="N56"/>
  <c r="M60"/>
  <c r="N60"/>
  <c r="J75"/>
  <c r="M21"/>
  <c r="N21"/>
  <c r="M26"/>
  <c r="N26"/>
  <c r="M27"/>
  <c r="N27"/>
  <c r="M31"/>
  <c r="N31"/>
  <c r="M39"/>
  <c r="N39"/>
  <c r="N14"/>
  <c r="M14"/>
  <c r="N32"/>
  <c r="M32"/>
  <c r="M18"/>
  <c r="N18"/>
  <c r="O74"/>
  <c r="R10"/>
  <c r="S10" s="1"/>
  <c r="M49"/>
  <c r="N49"/>
  <c r="N17"/>
  <c r="M17"/>
  <c r="M33"/>
  <c r="N33"/>
  <c r="M38"/>
  <c r="N38"/>
  <c r="S38"/>
  <c r="M44"/>
  <c r="N44"/>
  <c r="R25"/>
  <c r="S25" s="1"/>
  <c r="R50"/>
  <c r="S50" s="1"/>
  <c r="R19"/>
  <c r="S19" s="1"/>
  <c r="R45"/>
  <c r="S45" s="1"/>
  <c r="P74"/>
  <c r="P78" s="1"/>
  <c r="R41"/>
  <c r="S41" s="1"/>
  <c r="R26"/>
  <c r="S26" s="1"/>
  <c r="R14"/>
  <c r="S14" s="1"/>
  <c r="N25" i="21"/>
  <c r="M25"/>
  <c r="M50"/>
  <c r="N50"/>
  <c r="N58"/>
  <c r="M58"/>
  <c r="M18"/>
  <c r="N18"/>
  <c r="O74"/>
  <c r="R10"/>
  <c r="S10" s="1"/>
  <c r="M49"/>
  <c r="N49"/>
  <c r="N17"/>
  <c r="M17"/>
  <c r="M33"/>
  <c r="N33"/>
  <c r="M38"/>
  <c r="N38"/>
  <c r="M44"/>
  <c r="N44"/>
  <c r="M54"/>
  <c r="N54"/>
  <c r="M15"/>
  <c r="N15"/>
  <c r="M53"/>
  <c r="N53"/>
  <c r="N37"/>
  <c r="M37"/>
  <c r="M36"/>
  <c r="N36"/>
  <c r="N45"/>
  <c r="M45"/>
  <c r="P74"/>
  <c r="P78" s="1"/>
  <c r="R41"/>
  <c r="S41" s="1"/>
  <c r="R47"/>
  <c r="S47" s="1"/>
  <c r="R67"/>
  <c r="S67" s="1"/>
  <c r="M29"/>
  <c r="N29"/>
  <c r="M46"/>
  <c r="N46"/>
  <c r="M10"/>
  <c r="L78"/>
  <c r="N10"/>
  <c r="M23"/>
  <c r="N23"/>
  <c r="N43"/>
  <c r="M43"/>
  <c r="N67"/>
  <c r="M67"/>
  <c r="M63"/>
  <c r="N63"/>
  <c r="M11"/>
  <c r="N11"/>
  <c r="M57"/>
  <c r="N57"/>
  <c r="N70"/>
  <c r="M70"/>
  <c r="T70" s="1"/>
  <c r="M21"/>
  <c r="N21"/>
  <c r="M26"/>
  <c r="N26"/>
  <c r="M27"/>
  <c r="N27"/>
  <c r="M31"/>
  <c r="N31"/>
  <c r="M39"/>
  <c r="N39"/>
  <c r="M52"/>
  <c r="N52"/>
  <c r="M65"/>
  <c r="N65"/>
  <c r="M13"/>
  <c r="N13"/>
  <c r="M71"/>
  <c r="N71"/>
  <c r="M22"/>
  <c r="N22"/>
  <c r="R61"/>
  <c r="S61" s="1"/>
  <c r="M59"/>
  <c r="N59"/>
  <c r="M16"/>
  <c r="N16"/>
  <c r="M41"/>
  <c r="N41"/>
  <c r="M61"/>
  <c r="N61"/>
  <c r="M68"/>
  <c r="N68"/>
  <c r="M64"/>
  <c r="N64"/>
  <c r="N28"/>
  <c r="M28"/>
  <c r="M47"/>
  <c r="N47"/>
  <c r="N14"/>
  <c r="M14"/>
  <c r="R25"/>
  <c r="S25" s="1"/>
  <c r="R50"/>
  <c r="S50" s="1"/>
  <c r="Q74"/>
  <c r="Q78" s="1"/>
  <c r="R49"/>
  <c r="S49" s="1"/>
  <c r="R17"/>
  <c r="S17" s="1"/>
  <c r="R33"/>
  <c r="S33" s="1"/>
  <c r="R44"/>
  <c r="S44" s="1"/>
  <c r="R54"/>
  <c r="S54" s="1"/>
  <c r="R53"/>
  <c r="S53" s="1"/>
  <c r="R19"/>
  <c r="S19" s="1"/>
  <c r="M66"/>
  <c r="N66"/>
  <c r="N12"/>
  <c r="S12"/>
  <c r="M12"/>
  <c r="M40"/>
  <c r="N40"/>
  <c r="M48"/>
  <c r="N48"/>
  <c r="N62"/>
  <c r="M62"/>
  <c r="M30"/>
  <c r="N30"/>
  <c r="M35"/>
  <c r="N35"/>
  <c r="M56"/>
  <c r="N56"/>
  <c r="M60"/>
  <c r="N60"/>
  <c r="N72"/>
  <c r="M72"/>
  <c r="N32"/>
  <c r="M32"/>
  <c r="M19"/>
  <c r="N19"/>
  <c r="M69"/>
  <c r="N69"/>
  <c r="N20"/>
  <c r="U20" s="1"/>
  <c r="M20"/>
  <c r="M51"/>
  <c r="N51"/>
  <c r="J75"/>
  <c r="R38"/>
  <c r="S38" s="1"/>
  <c r="N72" i="20"/>
  <c r="M72"/>
  <c r="N43"/>
  <c r="M43"/>
  <c r="M51"/>
  <c r="N51"/>
  <c r="M19"/>
  <c r="N19"/>
  <c r="M52"/>
  <c r="N52"/>
  <c r="N17"/>
  <c r="M17"/>
  <c r="N32"/>
  <c r="M32"/>
  <c r="M40"/>
  <c r="N40"/>
  <c r="M63"/>
  <c r="N63"/>
  <c r="M27"/>
  <c r="N27"/>
  <c r="N70"/>
  <c r="M70"/>
  <c r="M16"/>
  <c r="N16"/>
  <c r="R13"/>
  <c r="S13" s="1"/>
  <c r="R45"/>
  <c r="S45" s="1"/>
  <c r="R54"/>
  <c r="S54" s="1"/>
  <c r="R48"/>
  <c r="S48" s="1"/>
  <c r="R50"/>
  <c r="S50" s="1"/>
  <c r="R21"/>
  <c r="S21" s="1"/>
  <c r="R33"/>
  <c r="S33" s="1"/>
  <c r="M59"/>
  <c r="N59"/>
  <c r="M44"/>
  <c r="N44"/>
  <c r="O74"/>
  <c r="R10"/>
  <c r="S10" s="1"/>
  <c r="M46"/>
  <c r="N46"/>
  <c r="U46" s="1"/>
  <c r="N68"/>
  <c r="M68"/>
  <c r="M35"/>
  <c r="N35"/>
  <c r="M41"/>
  <c r="N41"/>
  <c r="M38"/>
  <c r="N38"/>
  <c r="M18"/>
  <c r="N18"/>
  <c r="M56"/>
  <c r="N56"/>
  <c r="M57"/>
  <c r="N57"/>
  <c r="M39"/>
  <c r="N39"/>
  <c r="M26"/>
  <c r="N26"/>
  <c r="M71"/>
  <c r="N71"/>
  <c r="U71" s="1"/>
  <c r="M22"/>
  <c r="N22"/>
  <c r="P74"/>
  <c r="P78" s="1"/>
  <c r="R53"/>
  <c r="S53" s="1"/>
  <c r="R61"/>
  <c r="T37"/>
  <c r="N12"/>
  <c r="M12"/>
  <c r="M29"/>
  <c r="N29"/>
  <c r="M13"/>
  <c r="N13"/>
  <c r="M10"/>
  <c r="L78"/>
  <c r="N10"/>
  <c r="M60"/>
  <c r="N60"/>
  <c r="N45"/>
  <c r="M45"/>
  <c r="M53"/>
  <c r="N53"/>
  <c r="N28"/>
  <c r="M28"/>
  <c r="M54"/>
  <c r="N54"/>
  <c r="M48"/>
  <c r="N48"/>
  <c r="M50"/>
  <c r="N50"/>
  <c r="M21"/>
  <c r="N21"/>
  <c r="M69"/>
  <c r="N69"/>
  <c r="N67"/>
  <c r="M67"/>
  <c r="M23"/>
  <c r="N23"/>
  <c r="M33"/>
  <c r="N33"/>
  <c r="M64"/>
  <c r="N64"/>
  <c r="R43"/>
  <c r="S43" s="1"/>
  <c r="R52"/>
  <c r="S52" s="1"/>
  <c r="R17"/>
  <c r="S17" s="1"/>
  <c r="R12"/>
  <c r="S12" s="1"/>
  <c r="R49"/>
  <c r="S49" s="1"/>
  <c r="N20"/>
  <c r="M20"/>
  <c r="M66"/>
  <c r="N66"/>
  <c r="M15"/>
  <c r="N15"/>
  <c r="N58"/>
  <c r="U58" s="1"/>
  <c r="M58"/>
  <c r="T58" s="1"/>
  <c r="S58"/>
  <c r="M36"/>
  <c r="N36"/>
  <c r="N14"/>
  <c r="M14"/>
  <c r="M49"/>
  <c r="N49"/>
  <c r="M30"/>
  <c r="N30"/>
  <c r="M11"/>
  <c r="N11"/>
  <c r="M31"/>
  <c r="N31"/>
  <c r="S31"/>
  <c r="M47"/>
  <c r="N47"/>
  <c r="Q74"/>
  <c r="Q78" s="1"/>
  <c r="R62"/>
  <c r="S62" s="1"/>
  <c r="R25"/>
  <c r="U25" s="1"/>
  <c r="N25" i="19"/>
  <c r="M25"/>
  <c r="M50"/>
  <c r="N50"/>
  <c r="N58"/>
  <c r="M58"/>
  <c r="M19"/>
  <c r="N19"/>
  <c r="M69"/>
  <c r="N69"/>
  <c r="M36"/>
  <c r="N36"/>
  <c r="S36"/>
  <c r="N45"/>
  <c r="M45"/>
  <c r="M59"/>
  <c r="N59"/>
  <c r="M16"/>
  <c r="N16"/>
  <c r="M41"/>
  <c r="N41"/>
  <c r="N72"/>
  <c r="M72"/>
  <c r="T72" s="1"/>
  <c r="N37"/>
  <c r="M37"/>
  <c r="M68"/>
  <c r="N68"/>
  <c r="U68" s="1"/>
  <c r="M64"/>
  <c r="N64"/>
  <c r="R21"/>
  <c r="S21" s="1"/>
  <c r="R27"/>
  <c r="S27" s="1"/>
  <c r="R31"/>
  <c r="S31" s="1"/>
  <c r="Q74"/>
  <c r="Q78" s="1"/>
  <c r="R49"/>
  <c r="S49" s="1"/>
  <c r="R17"/>
  <c r="S17" s="1"/>
  <c r="R33"/>
  <c r="S33" s="1"/>
  <c r="R44"/>
  <c r="S44" s="1"/>
  <c r="M15"/>
  <c r="N15"/>
  <c r="M53"/>
  <c r="N53"/>
  <c r="N12"/>
  <c r="M12"/>
  <c r="T12" s="1"/>
  <c r="M40"/>
  <c r="N40"/>
  <c r="M48"/>
  <c r="N48"/>
  <c r="N62"/>
  <c r="M62"/>
  <c r="M13"/>
  <c r="N13"/>
  <c r="M71"/>
  <c r="N71"/>
  <c r="M22"/>
  <c r="N22"/>
  <c r="N70"/>
  <c r="M70"/>
  <c r="N28"/>
  <c r="M28"/>
  <c r="M66"/>
  <c r="N66"/>
  <c r="M52"/>
  <c r="N52"/>
  <c r="M65"/>
  <c r="N65"/>
  <c r="M30"/>
  <c r="N30"/>
  <c r="M35"/>
  <c r="N35"/>
  <c r="M56"/>
  <c r="N56"/>
  <c r="M60"/>
  <c r="N60"/>
  <c r="J75"/>
  <c r="M21"/>
  <c r="N21"/>
  <c r="M26"/>
  <c r="N26"/>
  <c r="M27"/>
  <c r="N27"/>
  <c r="M31"/>
  <c r="N31"/>
  <c r="M39"/>
  <c r="T39" s="1"/>
  <c r="N39"/>
  <c r="N14"/>
  <c r="M14"/>
  <c r="N32"/>
  <c r="M32"/>
  <c r="S18"/>
  <c r="M18"/>
  <c r="N18"/>
  <c r="O74"/>
  <c r="R10"/>
  <c r="S10" s="1"/>
  <c r="M49"/>
  <c r="N49"/>
  <c r="N17"/>
  <c r="M17"/>
  <c r="M33"/>
  <c r="N33"/>
  <c r="M38"/>
  <c r="N38"/>
  <c r="M44"/>
  <c r="N44"/>
  <c r="R25"/>
  <c r="S25" s="1"/>
  <c r="R50"/>
  <c r="S50" s="1"/>
  <c r="R19"/>
  <c r="S19" s="1"/>
  <c r="R45"/>
  <c r="S45" s="1"/>
  <c r="P74"/>
  <c r="P78" s="1"/>
  <c r="R41"/>
  <c r="S41" s="1"/>
  <c r="R26"/>
  <c r="S26" s="1"/>
  <c r="R14"/>
  <c r="S14" s="1"/>
  <c r="M47"/>
  <c r="N47"/>
  <c r="M51"/>
  <c r="N51"/>
  <c r="M61"/>
  <c r="T61" s="1"/>
  <c r="N61"/>
  <c r="M54"/>
  <c r="N54"/>
  <c r="M29"/>
  <c r="N29"/>
  <c r="M46"/>
  <c r="N46"/>
  <c r="M10"/>
  <c r="L78"/>
  <c r="N10"/>
  <c r="M23"/>
  <c r="N23"/>
  <c r="N43"/>
  <c r="M43"/>
  <c r="N67"/>
  <c r="M67"/>
  <c r="N20"/>
  <c r="M20"/>
  <c r="M63"/>
  <c r="T63" s="1"/>
  <c r="N63"/>
  <c r="M11"/>
  <c r="N11"/>
  <c r="M57"/>
  <c r="N57"/>
  <c r="R30" i="18"/>
  <c r="S30" s="1"/>
  <c r="R38"/>
  <c r="S38" s="1"/>
  <c r="R62"/>
  <c r="S62" s="1"/>
  <c r="R43"/>
  <c r="S43" s="1"/>
  <c r="R27"/>
  <c r="T27" s="1"/>
  <c r="R28"/>
  <c r="S28" s="1"/>
  <c r="R20"/>
  <c r="S20" s="1"/>
  <c r="R63"/>
  <c r="S63" s="1"/>
  <c r="R59"/>
  <c r="S59" s="1"/>
  <c r="R52"/>
  <c r="S52" s="1"/>
  <c r="V14"/>
  <c r="R53"/>
  <c r="S53" s="1"/>
  <c r="R51"/>
  <c r="S51" s="1"/>
  <c r="R46"/>
  <c r="S46" s="1"/>
  <c r="M20"/>
  <c r="N20"/>
  <c r="M50"/>
  <c r="N50"/>
  <c r="N49"/>
  <c r="M49"/>
  <c r="M43"/>
  <c r="N43"/>
  <c r="M71"/>
  <c r="N71"/>
  <c r="M41"/>
  <c r="N41"/>
  <c r="U41" s="1"/>
  <c r="N53"/>
  <c r="M53"/>
  <c r="M66"/>
  <c r="N66"/>
  <c r="M38"/>
  <c r="N38"/>
  <c r="N70"/>
  <c r="M70"/>
  <c r="M44"/>
  <c r="N44"/>
  <c r="M63"/>
  <c r="N63"/>
  <c r="M68"/>
  <c r="N68"/>
  <c r="O74"/>
  <c r="R10"/>
  <c r="S10" s="1"/>
  <c r="N19"/>
  <c r="M19"/>
  <c r="N36"/>
  <c r="U36" s="1"/>
  <c r="S36"/>
  <c r="M36"/>
  <c r="T36" s="1"/>
  <c r="N62"/>
  <c r="M62"/>
  <c r="M48"/>
  <c r="N48"/>
  <c r="M21"/>
  <c r="N21"/>
  <c r="M30"/>
  <c r="N30"/>
  <c r="M56"/>
  <c r="N56"/>
  <c r="M15"/>
  <c r="N15"/>
  <c r="M69"/>
  <c r="N69"/>
  <c r="S32"/>
  <c r="M32"/>
  <c r="N32"/>
  <c r="M40"/>
  <c r="N40"/>
  <c r="M54"/>
  <c r="N54"/>
  <c r="M26"/>
  <c r="N26"/>
  <c r="M33"/>
  <c r="N33"/>
  <c r="M59"/>
  <c r="N59"/>
  <c r="R29"/>
  <c r="S29" s="1"/>
  <c r="R15"/>
  <c r="S15" s="1"/>
  <c r="R19"/>
  <c r="S19" s="1"/>
  <c r="R35"/>
  <c r="S35" s="1"/>
  <c r="T61"/>
  <c r="M10"/>
  <c r="L78"/>
  <c r="N10"/>
  <c r="M25"/>
  <c r="N25"/>
  <c r="M12"/>
  <c r="N12"/>
  <c r="N58"/>
  <c r="M58"/>
  <c r="N47"/>
  <c r="S47"/>
  <c r="M47"/>
  <c r="M35"/>
  <c r="N35"/>
  <c r="M28"/>
  <c r="N28"/>
  <c r="M46"/>
  <c r="N46"/>
  <c r="R44"/>
  <c r="S44" s="1"/>
  <c r="Q74"/>
  <c r="Q78" s="1"/>
  <c r="R48"/>
  <c r="S48" s="1"/>
  <c r="R21"/>
  <c r="S21" s="1"/>
  <c r="R22"/>
  <c r="S22" s="1"/>
  <c r="R60"/>
  <c r="U60" s="1"/>
  <c r="R40"/>
  <c r="S40" s="1"/>
  <c r="R54"/>
  <c r="S54" s="1"/>
  <c r="R33"/>
  <c r="S33" s="1"/>
  <c r="R71"/>
  <c r="S71" s="1"/>
  <c r="N51"/>
  <c r="M51"/>
  <c r="N11"/>
  <c r="M11"/>
  <c r="M29"/>
  <c r="N29"/>
  <c r="M13"/>
  <c r="N13"/>
  <c r="N67"/>
  <c r="M67"/>
  <c r="M16"/>
  <c r="N16"/>
  <c r="S16"/>
  <c r="M22"/>
  <c r="N22"/>
  <c r="M17"/>
  <c r="N17"/>
  <c r="M65"/>
  <c r="N65"/>
  <c r="M18"/>
  <c r="N18"/>
  <c r="M37"/>
  <c r="T37" s="1"/>
  <c r="N37"/>
  <c r="U37" s="1"/>
  <c r="M52"/>
  <c r="N52"/>
  <c r="R13"/>
  <c r="S13" s="1"/>
  <c r="P74"/>
  <c r="P78" s="1"/>
  <c r="R50"/>
  <c r="S50" s="1"/>
  <c r="J75"/>
  <c r="R49"/>
  <c r="S49" s="1"/>
  <c r="R25"/>
  <c r="S25" s="1"/>
  <c r="R56"/>
  <c r="S56" s="1"/>
  <c r="R64"/>
  <c r="U64" s="1"/>
  <c r="R48" i="17"/>
  <c r="S48" s="1"/>
  <c r="R56"/>
  <c r="S56" s="1"/>
  <c r="R59"/>
  <c r="S59" s="1"/>
  <c r="R36"/>
  <c r="S36" s="1"/>
  <c r="R51"/>
  <c r="S51" s="1"/>
  <c r="R63"/>
  <c r="S63" s="1"/>
  <c r="R38"/>
  <c r="S38" s="1"/>
  <c r="R18"/>
  <c r="S18" s="1"/>
  <c r="R45"/>
  <c r="S45" s="1"/>
  <c r="R30"/>
  <c r="S30" s="1"/>
  <c r="N70"/>
  <c r="M70"/>
  <c r="N45"/>
  <c r="M45"/>
  <c r="M49"/>
  <c r="N49"/>
  <c r="M30"/>
  <c r="N30"/>
  <c r="N14"/>
  <c r="M14"/>
  <c r="M19"/>
  <c r="N19"/>
  <c r="S19"/>
  <c r="M59"/>
  <c r="N59"/>
  <c r="M44"/>
  <c r="N44"/>
  <c r="N62"/>
  <c r="M62"/>
  <c r="M53"/>
  <c r="N53"/>
  <c r="O74"/>
  <c r="R10"/>
  <c r="S10" s="1"/>
  <c r="R54"/>
  <c r="S54" s="1"/>
  <c r="R50"/>
  <c r="S50" s="1"/>
  <c r="R33"/>
  <c r="S33" s="1"/>
  <c r="P74"/>
  <c r="P78" s="1"/>
  <c r="M18"/>
  <c r="N18"/>
  <c r="N32"/>
  <c r="M32"/>
  <c r="M15"/>
  <c r="T15" s="1"/>
  <c r="N15"/>
  <c r="M16"/>
  <c r="N16"/>
  <c r="U16" s="1"/>
  <c r="M27"/>
  <c r="N27"/>
  <c r="S27"/>
  <c r="S29"/>
  <c r="M29"/>
  <c r="N29"/>
  <c r="M13"/>
  <c r="N13"/>
  <c r="M26"/>
  <c r="T26" s="1"/>
  <c r="N26"/>
  <c r="U26" s="1"/>
  <c r="S26"/>
  <c r="M71"/>
  <c r="N71"/>
  <c r="M22"/>
  <c r="N22"/>
  <c r="N20"/>
  <c r="M20"/>
  <c r="M39"/>
  <c r="N39"/>
  <c r="M10"/>
  <c r="L78"/>
  <c r="N10"/>
  <c r="M60"/>
  <c r="N60"/>
  <c r="R43"/>
  <c r="S43" s="1"/>
  <c r="R21"/>
  <c r="S21" s="1"/>
  <c r="R52"/>
  <c r="S52" s="1"/>
  <c r="R47"/>
  <c r="S47" s="1"/>
  <c r="R17"/>
  <c r="S17" s="1"/>
  <c r="M38"/>
  <c r="N38"/>
  <c r="N68"/>
  <c r="M68"/>
  <c r="M35"/>
  <c r="N35"/>
  <c r="M41"/>
  <c r="N41"/>
  <c r="S41"/>
  <c r="M48"/>
  <c r="N48"/>
  <c r="N28"/>
  <c r="M28"/>
  <c r="M56"/>
  <c r="N56"/>
  <c r="M57"/>
  <c r="N57"/>
  <c r="N54"/>
  <c r="M54"/>
  <c r="M50"/>
  <c r="N50"/>
  <c r="M33"/>
  <c r="N33"/>
  <c r="M40"/>
  <c r="N40"/>
  <c r="M23"/>
  <c r="N23"/>
  <c r="M46"/>
  <c r="N46"/>
  <c r="M66"/>
  <c r="N66"/>
  <c r="U66" s="1"/>
  <c r="R61"/>
  <c r="S61" s="1"/>
  <c r="R44"/>
  <c r="S44" s="1"/>
  <c r="R20"/>
  <c r="S20" s="1"/>
  <c r="Q74"/>
  <c r="Q78" s="1"/>
  <c r="N72"/>
  <c r="M72"/>
  <c r="N43"/>
  <c r="M43"/>
  <c r="M63"/>
  <c r="N63"/>
  <c r="N12"/>
  <c r="S12"/>
  <c r="M12"/>
  <c r="N58"/>
  <c r="M58"/>
  <c r="M21"/>
  <c r="N21"/>
  <c r="M69"/>
  <c r="N69"/>
  <c r="N67"/>
  <c r="M67"/>
  <c r="N25"/>
  <c r="M25"/>
  <c r="M36"/>
  <c r="N36"/>
  <c r="M52"/>
  <c r="N52"/>
  <c r="M51"/>
  <c r="N51"/>
  <c r="M11"/>
  <c r="N11"/>
  <c r="M47"/>
  <c r="N47"/>
  <c r="M64"/>
  <c r="N64"/>
  <c r="N17"/>
  <c r="M17"/>
  <c r="M31"/>
  <c r="T31" s="1"/>
  <c r="N31"/>
  <c r="U31" s="1"/>
  <c r="S31"/>
  <c r="R32"/>
  <c r="S32" s="1"/>
  <c r="R71"/>
  <c r="S71" s="1"/>
  <c r="R22"/>
  <c r="S22" s="1"/>
  <c r="R37"/>
  <c r="T37" s="1"/>
  <c r="R53"/>
  <c r="S53" s="1"/>
  <c r="J75"/>
  <c r="M30" i="1"/>
  <c r="R58"/>
  <c r="S58" s="1"/>
  <c r="M66"/>
  <c r="M46"/>
  <c r="N44"/>
  <c r="R38"/>
  <c r="S38" s="1"/>
  <c r="M63"/>
  <c r="T63" s="1"/>
  <c r="M22"/>
  <c r="R46"/>
  <c r="R28"/>
  <c r="S28" s="1"/>
  <c r="R11"/>
  <c r="S11" s="1"/>
  <c r="R71"/>
  <c r="N56"/>
  <c r="R72"/>
  <c r="S72" s="1"/>
  <c r="R13"/>
  <c r="S13" s="1"/>
  <c r="R22"/>
  <c r="S22" s="1"/>
  <c r="R32"/>
  <c r="S32" s="1"/>
  <c r="R48"/>
  <c r="S48" s="1"/>
  <c r="M35"/>
  <c r="R53"/>
  <c r="S53" s="1"/>
  <c r="R21"/>
  <c r="S21" s="1"/>
  <c r="R19"/>
  <c r="S19" s="1"/>
  <c r="R18"/>
  <c r="S18" s="1"/>
  <c r="R16"/>
  <c r="S16" s="1"/>
  <c r="R30"/>
  <c r="S30" s="1"/>
  <c r="R62"/>
  <c r="S62" s="1"/>
  <c r="R69"/>
  <c r="S69" s="1"/>
  <c r="R44"/>
  <c r="S44" s="1"/>
  <c r="R70"/>
  <c r="S70" s="1"/>
  <c r="R25"/>
  <c r="S25" s="1"/>
  <c r="R20"/>
  <c r="S20" s="1"/>
  <c r="R17"/>
  <c r="S17" s="1"/>
  <c r="R66"/>
  <c r="S66" s="1"/>
  <c r="R41"/>
  <c r="S41" s="1"/>
  <c r="R35"/>
  <c r="S35" s="1"/>
  <c r="R59"/>
  <c r="S59" s="1"/>
  <c r="R29"/>
  <c r="S29" s="1"/>
  <c r="R37"/>
  <c r="S37" s="1"/>
  <c r="R65"/>
  <c r="S65" s="1"/>
  <c r="R54"/>
  <c r="S54" s="1"/>
  <c r="J75"/>
  <c r="R67"/>
  <c r="S67" s="1"/>
  <c r="R15"/>
  <c r="S15" s="1"/>
  <c r="R52"/>
  <c r="S52" s="1"/>
  <c r="R51"/>
  <c r="S51" s="1"/>
  <c r="N10"/>
  <c r="R60"/>
  <c r="S60" s="1"/>
  <c r="M41"/>
  <c r="R43"/>
  <c r="S43" s="1"/>
  <c r="R26"/>
  <c r="S26" s="1"/>
  <c r="R45"/>
  <c r="S45" s="1"/>
  <c r="R50"/>
  <c r="S50" s="1"/>
  <c r="R33"/>
  <c r="S33" s="1"/>
  <c r="R56"/>
  <c r="S56" s="1"/>
  <c r="N26"/>
  <c r="R12"/>
  <c r="S12" s="1"/>
  <c r="R40"/>
  <c r="S40" s="1"/>
  <c r="P74"/>
  <c r="P78" s="1"/>
  <c r="R27"/>
  <c r="S27" s="1"/>
  <c r="M51"/>
  <c r="N51"/>
  <c r="N29"/>
  <c r="M29"/>
  <c r="N21"/>
  <c r="M21"/>
  <c r="M61"/>
  <c r="N61"/>
  <c r="M49"/>
  <c r="T49" s="1"/>
  <c r="N49"/>
  <c r="U49" s="1"/>
  <c r="S49"/>
  <c r="M31"/>
  <c r="N31"/>
  <c r="M11"/>
  <c r="N11"/>
  <c r="N52"/>
  <c r="M52"/>
  <c r="N48"/>
  <c r="M48"/>
  <c r="M62"/>
  <c r="N62"/>
  <c r="M37"/>
  <c r="N37"/>
  <c r="L78"/>
  <c r="R47"/>
  <c r="S47" s="1"/>
  <c r="R14"/>
  <c r="S14" s="1"/>
  <c r="M36"/>
  <c r="N36"/>
  <c r="M19"/>
  <c r="N19"/>
  <c r="N18"/>
  <c r="M18"/>
  <c r="N15"/>
  <c r="M15"/>
  <c r="M72"/>
  <c r="N72"/>
  <c r="M45"/>
  <c r="N45"/>
  <c r="M20"/>
  <c r="N20"/>
  <c r="R23"/>
  <c r="S23" s="1"/>
  <c r="O74"/>
  <c r="M64"/>
  <c r="N64"/>
  <c r="M53"/>
  <c r="N53"/>
  <c r="M39"/>
  <c r="N39"/>
  <c r="M23"/>
  <c r="N23"/>
  <c r="N68"/>
  <c r="M68"/>
  <c r="N65"/>
  <c r="M65"/>
  <c r="N59"/>
  <c r="M59"/>
  <c r="N54"/>
  <c r="M54"/>
  <c r="N50"/>
  <c r="M50"/>
  <c r="N40"/>
  <c r="M40"/>
  <c r="N33"/>
  <c r="M33"/>
  <c r="M70"/>
  <c r="N70"/>
  <c r="M67"/>
  <c r="N67"/>
  <c r="M43"/>
  <c r="N43"/>
  <c r="M28"/>
  <c r="N28"/>
  <c r="M25"/>
  <c r="N25"/>
  <c r="M17"/>
  <c r="N17"/>
  <c r="M14"/>
  <c r="N14"/>
  <c r="Q74"/>
  <c r="Q78" s="1"/>
  <c r="R57"/>
  <c r="S57" s="1"/>
  <c r="R31"/>
  <c r="S31" s="1"/>
  <c r="R10"/>
  <c r="S10" s="1"/>
  <c r="M57"/>
  <c r="N57"/>
  <c r="M47"/>
  <c r="N47"/>
  <c r="M27"/>
  <c r="N27"/>
  <c r="M58"/>
  <c r="N58"/>
  <c r="M32"/>
  <c r="N32"/>
  <c r="M12"/>
  <c r="N12"/>
  <c r="R64"/>
  <c r="S64" s="1"/>
  <c r="R61"/>
  <c r="S61" s="1"/>
  <c r="R39"/>
  <c r="S39" s="1"/>
  <c r="R36"/>
  <c r="S36" s="1"/>
  <c r="S63" l="1"/>
  <c r="S61" i="16"/>
  <c r="V61" s="1"/>
  <c r="T61"/>
  <c r="T70" i="18"/>
  <c r="T18" i="19"/>
  <c r="U30" i="21"/>
  <c r="U11" i="22"/>
  <c r="T21" i="23"/>
  <c r="T40"/>
  <c r="U39" i="17"/>
  <c r="T66" i="19"/>
  <c r="U70"/>
  <c r="U28" i="20"/>
  <c r="T35" i="21"/>
  <c r="T66" i="17"/>
  <c r="U16" i="18"/>
  <c r="U45"/>
  <c r="U66" i="19"/>
  <c r="V66" s="1"/>
  <c r="U72"/>
  <c r="T16"/>
  <c r="T35" i="20"/>
  <c r="T36" i="21"/>
  <c r="T51" i="16"/>
  <c r="T57" i="18"/>
  <c r="U47"/>
  <c r="V47" s="1"/>
  <c r="T57" i="22"/>
  <c r="T47" i="18"/>
  <c r="U41" i="16"/>
  <c r="U46"/>
  <c r="T31"/>
  <c r="U39"/>
  <c r="S60"/>
  <c r="T41"/>
  <c r="T37"/>
  <c r="U31"/>
  <c r="U63" i="19"/>
  <c r="U38"/>
  <c r="T46" i="16"/>
  <c r="T39"/>
  <c r="V39" s="1"/>
  <c r="U59" i="22"/>
  <c r="U37" i="16"/>
  <c r="U60"/>
  <c r="U57" i="18"/>
  <c r="T22" i="16"/>
  <c r="T14"/>
  <c r="U14"/>
  <c r="U12" i="17"/>
  <c r="U23" i="18"/>
  <c r="T65" i="20"/>
  <c r="U47" i="16"/>
  <c r="T23"/>
  <c r="S22"/>
  <c r="U23"/>
  <c r="T12" i="17"/>
  <c r="T65"/>
  <c r="T47" i="16"/>
  <c r="T63"/>
  <c r="V63" s="1"/>
  <c r="U43"/>
  <c r="V43" s="1"/>
  <c r="Y43" s="1"/>
  <c r="V72" i="18"/>
  <c r="Y72" s="1"/>
  <c r="U71" i="1"/>
  <c r="T23" i="18"/>
  <c r="U22" i="16"/>
  <c r="U30"/>
  <c r="U65" i="20"/>
  <c r="U27" i="16"/>
  <c r="U11"/>
  <c r="V11" s="1"/>
  <c r="T17" i="18"/>
  <c r="U59" i="19"/>
  <c r="U12" i="22"/>
  <c r="T68"/>
  <c r="U37"/>
  <c r="T56" i="16"/>
  <c r="T61" i="17"/>
  <c r="U68" i="1"/>
  <c r="U56" i="16"/>
  <c r="U45"/>
  <c r="T46" i="17"/>
  <c r="T40"/>
  <c r="T11" i="20"/>
  <c r="U69" i="16"/>
  <c r="U61" i="18"/>
  <c r="V61" s="1"/>
  <c r="T69" i="16"/>
  <c r="T30"/>
  <c r="U17"/>
  <c r="T25"/>
  <c r="U25"/>
  <c r="U66"/>
  <c r="T20" i="18"/>
  <c r="U58" i="21"/>
  <c r="U35" i="22"/>
  <c r="U48"/>
  <c r="T23"/>
  <c r="T38" i="20"/>
  <c r="U12" i="21"/>
  <c r="U49" i="23"/>
  <c r="U58"/>
  <c r="T19"/>
  <c r="T19" i="16"/>
  <c r="U67"/>
  <c r="U37" i="20"/>
  <c r="U40" i="16"/>
  <c r="T27"/>
  <c r="T65" i="21"/>
  <c r="T72"/>
  <c r="T67" i="20"/>
  <c r="T61"/>
  <c r="U35"/>
  <c r="U70"/>
  <c r="T16" i="16"/>
  <c r="U28"/>
  <c r="U19"/>
  <c r="T17"/>
  <c r="T70" i="17"/>
  <c r="U17" i="18"/>
  <c r="S37" i="20"/>
  <c r="U68" i="22"/>
  <c r="T65" i="16"/>
  <c r="T68" i="1"/>
  <c r="U11" i="17"/>
  <c r="U52" i="22"/>
  <c r="T37"/>
  <c r="U72"/>
  <c r="U65" i="16"/>
  <c r="V72"/>
  <c r="Y72" s="1"/>
  <c r="V53"/>
  <c r="X53" s="1"/>
  <c r="Z53" s="1"/>
  <c r="U40" i="17"/>
  <c r="U13"/>
  <c r="U19"/>
  <c r="S39" i="18"/>
  <c r="T26"/>
  <c r="U67" i="19"/>
  <c r="T47" i="20"/>
  <c r="U22"/>
  <c r="T40"/>
  <c r="U40" i="22"/>
  <c r="U57"/>
  <c r="U22" i="23"/>
  <c r="T37"/>
  <c r="T66" i="16"/>
  <c r="T67"/>
  <c r="U50"/>
  <c r="T65" i="18"/>
  <c r="U20" i="20"/>
  <c r="U68" i="21"/>
  <c r="T37"/>
  <c r="T38" i="22"/>
  <c r="U28"/>
  <c r="T36"/>
  <c r="T50" i="23"/>
  <c r="U44" i="16"/>
  <c r="U58" i="17"/>
  <c r="T57"/>
  <c r="T11" i="18"/>
  <c r="T64" i="19"/>
  <c r="T59"/>
  <c r="T62" i="21"/>
  <c r="U38" i="22"/>
  <c r="U39"/>
  <c r="U22"/>
  <c r="U36"/>
  <c r="U47" i="23"/>
  <c r="U33" i="16"/>
  <c r="T44"/>
  <c r="U16"/>
  <c r="T41" i="18"/>
  <c r="V41" s="1"/>
  <c r="T26" i="20"/>
  <c r="U14" i="21"/>
  <c r="U39"/>
  <c r="T63"/>
  <c r="U30" i="22"/>
  <c r="T67"/>
  <c r="T71" i="16"/>
  <c r="U57"/>
  <c r="U57" i="21"/>
  <c r="T43"/>
  <c r="T15"/>
  <c r="U71" i="16"/>
  <c r="T71" i="20"/>
  <c r="T56"/>
  <c r="T51"/>
  <c r="U32" i="21"/>
  <c r="T60"/>
  <c r="U15"/>
  <c r="U62" i="23"/>
  <c r="T14"/>
  <c r="T12" i="16"/>
  <c r="T57" i="20"/>
  <c r="T18" i="22"/>
  <c r="T36" i="16"/>
  <c r="T50"/>
  <c r="U36"/>
  <c r="X72" i="18"/>
  <c r="Z72" s="1"/>
  <c r="X14"/>
  <c r="Z14" s="1"/>
  <c r="Y14"/>
  <c r="T40" i="21"/>
  <c r="U64" i="16"/>
  <c r="V64" s="1"/>
  <c r="T68"/>
  <c r="T31" i="19"/>
  <c r="T57" i="16"/>
  <c r="U12"/>
  <c r="T32"/>
  <c r="T18" i="17"/>
  <c r="U31" i="23"/>
  <c r="T11" i="17"/>
  <c r="T72"/>
  <c r="U70"/>
  <c r="T12" i="18"/>
  <c r="T15" i="19"/>
  <c r="T22" i="20"/>
  <c r="T68" i="21"/>
  <c r="T39" i="22"/>
  <c r="T52"/>
  <c r="T22"/>
  <c r="T40"/>
  <c r="U63"/>
  <c r="T22" i="23"/>
  <c r="T47"/>
  <c r="U15"/>
  <c r="U30"/>
  <c r="T41"/>
  <c r="V41" s="1"/>
  <c r="U69"/>
  <c r="U18" i="16"/>
  <c r="V62"/>
  <c r="U72" i="17"/>
  <c r="U65" i="18"/>
  <c r="T67"/>
  <c r="U31"/>
  <c r="T68"/>
  <c r="U47" i="20"/>
  <c r="U40"/>
  <c r="T64" i="21"/>
  <c r="U47" i="22"/>
  <c r="U57" i="23"/>
  <c r="V57" s="1"/>
  <c r="U50"/>
  <c r="U72"/>
  <c r="T36"/>
  <c r="R78" i="16"/>
  <c r="T67" i="17"/>
  <c r="U68" i="18"/>
  <c r="U30" i="20"/>
  <c r="T20"/>
  <c r="U44"/>
  <c r="U62" i="21"/>
  <c r="U64"/>
  <c r="U37"/>
  <c r="T28" i="22"/>
  <c r="T72"/>
  <c r="T63"/>
  <c r="U36" i="23"/>
  <c r="T15"/>
  <c r="V15" s="1"/>
  <c r="T30"/>
  <c r="V30" s="1"/>
  <c r="T69"/>
  <c r="U58" i="18"/>
  <c r="T29" i="19"/>
  <c r="U32"/>
  <c r="U57" i="20"/>
  <c r="U18"/>
  <c r="U70" i="16"/>
  <c r="T20"/>
  <c r="T28"/>
  <c r="U35" i="17"/>
  <c r="T64"/>
  <c r="U67"/>
  <c r="T28"/>
  <c r="U29" i="19"/>
  <c r="U51"/>
  <c r="U28"/>
  <c r="U14" i="20"/>
  <c r="T15"/>
  <c r="U16"/>
  <c r="T46" i="21"/>
  <c r="U70" i="22"/>
  <c r="T29"/>
  <c r="T13" i="23"/>
  <c r="T63"/>
  <c r="U18"/>
  <c r="T72"/>
  <c r="U20" i="16"/>
  <c r="U60" i="17"/>
  <c r="U64"/>
  <c r="T13"/>
  <c r="V65"/>
  <c r="U39" i="18"/>
  <c r="T54" i="19"/>
  <c r="U32" i="20"/>
  <c r="T56" i="21"/>
  <c r="U13"/>
  <c r="U46"/>
  <c r="T45"/>
  <c r="T31" i="22"/>
  <c r="U13"/>
  <c r="U62"/>
  <c r="U63" i="23"/>
  <c r="U45"/>
  <c r="T70" i="16"/>
  <c r="T18"/>
  <c r="U51" i="17"/>
  <c r="U32" i="23"/>
  <c r="U43" i="19"/>
  <c r="U37"/>
  <c r="T57"/>
  <c r="T65"/>
  <c r="T13"/>
  <c r="U15"/>
  <c r="U64"/>
  <c r="T37"/>
  <c r="U57"/>
  <c r="U35"/>
  <c r="U65"/>
  <c r="U23"/>
  <c r="U39"/>
  <c r="V39" s="1"/>
  <c r="U30"/>
  <c r="T48"/>
  <c r="U48"/>
  <c r="U36"/>
  <c r="U38" i="18"/>
  <c r="U32" i="16"/>
  <c r="R74"/>
  <c r="S78" s="1"/>
  <c r="U46" i="18"/>
  <c r="U15" i="16"/>
  <c r="T48"/>
  <c r="T40"/>
  <c r="U12" i="19"/>
  <c r="V12" s="1"/>
  <c r="T69"/>
  <c r="T23" i="20"/>
  <c r="T28"/>
  <c r="T60"/>
  <c r="T39"/>
  <c r="U38"/>
  <c r="U68"/>
  <c r="T27"/>
  <c r="T72"/>
  <c r="U35" i="21"/>
  <c r="T12"/>
  <c r="T22"/>
  <c r="T21"/>
  <c r="T11"/>
  <c r="T23"/>
  <c r="U36"/>
  <c r="T56" i="22"/>
  <c r="T65"/>
  <c r="U15"/>
  <c r="U16"/>
  <c r="T69"/>
  <c r="T46"/>
  <c r="T58" i="23"/>
  <c r="U27"/>
  <c r="U21"/>
  <c r="V21" s="1"/>
  <c r="T70"/>
  <c r="U40"/>
  <c r="U19"/>
  <c r="T26" i="16"/>
  <c r="T21"/>
  <c r="V21" s="1"/>
  <c r="T29"/>
  <c r="V38"/>
  <c r="T54"/>
  <c r="U26" i="18"/>
  <c r="U20" i="19"/>
  <c r="U18"/>
  <c r="U60"/>
  <c r="T56"/>
  <c r="T71"/>
  <c r="T40"/>
  <c r="U16"/>
  <c r="V16" s="1"/>
  <c r="U69" i="17"/>
  <c r="U46"/>
  <c r="U57"/>
  <c r="U68"/>
  <c r="T39"/>
  <c r="U15"/>
  <c r="V15" s="1"/>
  <c r="T45" i="18"/>
  <c r="T16"/>
  <c r="V16" s="1"/>
  <c r="U70"/>
  <c r="V70" s="1"/>
  <c r="U66"/>
  <c r="T43" i="19"/>
  <c r="T38"/>
  <c r="U56"/>
  <c r="U71"/>
  <c r="T62"/>
  <c r="U69"/>
  <c r="U67" i="20"/>
  <c r="U53"/>
  <c r="T41"/>
  <c r="T68"/>
  <c r="U59"/>
  <c r="T19"/>
  <c r="T20" i="21"/>
  <c r="V20" s="1"/>
  <c r="U69"/>
  <c r="U65"/>
  <c r="U70"/>
  <c r="V70" s="1"/>
  <c r="U11"/>
  <c r="U18"/>
  <c r="T35" i="22"/>
  <c r="U65"/>
  <c r="T64"/>
  <c r="T59"/>
  <c r="V59" s="1"/>
  <c r="U69"/>
  <c r="T58"/>
  <c r="U46"/>
  <c r="T61"/>
  <c r="U71" i="23"/>
  <c r="T49"/>
  <c r="U39"/>
  <c r="T26"/>
  <c r="T16"/>
  <c r="V16" s="1"/>
  <c r="V35" i="16"/>
  <c r="U26"/>
  <c r="U29"/>
  <c r="U68"/>
  <c r="U54"/>
  <c r="V51"/>
  <c r="U27" i="18"/>
  <c r="U33" i="20"/>
  <c r="T69" i="17"/>
  <c r="T43"/>
  <c r="U28"/>
  <c r="T35"/>
  <c r="T60"/>
  <c r="U29"/>
  <c r="T62"/>
  <c r="T19"/>
  <c r="U49"/>
  <c r="U11" i="18"/>
  <c r="U69"/>
  <c r="U11" i="19"/>
  <c r="T67"/>
  <c r="T23"/>
  <c r="T51"/>
  <c r="T32"/>
  <c r="T60"/>
  <c r="T30"/>
  <c r="U52"/>
  <c r="T70"/>
  <c r="V70" s="1"/>
  <c r="U22"/>
  <c r="T68"/>
  <c r="V68" s="1"/>
  <c r="T36"/>
  <c r="U31" i="20"/>
  <c r="T14"/>
  <c r="U64"/>
  <c r="T54"/>
  <c r="T18"/>
  <c r="T59"/>
  <c r="T16"/>
  <c r="U63"/>
  <c r="T69" i="21"/>
  <c r="T32"/>
  <c r="U66"/>
  <c r="T14"/>
  <c r="V14" s="1"/>
  <c r="U59"/>
  <c r="U71"/>
  <c r="T13"/>
  <c r="T39"/>
  <c r="U27"/>
  <c r="T57"/>
  <c r="U29"/>
  <c r="T18"/>
  <c r="U17" i="22"/>
  <c r="T27"/>
  <c r="T21"/>
  <c r="T30"/>
  <c r="U66"/>
  <c r="U71"/>
  <c r="T13"/>
  <c r="T16"/>
  <c r="U58"/>
  <c r="U43"/>
  <c r="T61" i="23"/>
  <c r="V61" s="1"/>
  <c r="T71"/>
  <c r="T11"/>
  <c r="V11" s="1"/>
  <c r="T17"/>
  <c r="T18"/>
  <c r="T27"/>
  <c r="T20"/>
  <c r="U70"/>
  <c r="U48"/>
  <c r="U59"/>
  <c r="U10" i="16"/>
  <c r="T33"/>
  <c r="U52"/>
  <c r="V45"/>
  <c r="U23" i="22"/>
  <c r="V23" s="1"/>
  <c r="U26" i="23"/>
  <c r="U66"/>
  <c r="V66" s="1"/>
  <c r="U48" i="16"/>
  <c r="T43" i="22"/>
  <c r="U29"/>
  <c r="U13" i="23"/>
  <c r="T58" i="17"/>
  <c r="T56"/>
  <c r="T68"/>
  <c r="T29"/>
  <c r="U62"/>
  <c r="T49"/>
  <c r="U52" i="18"/>
  <c r="U28"/>
  <c r="T58"/>
  <c r="T69"/>
  <c r="T11" i="19"/>
  <c r="T20"/>
  <c r="U54"/>
  <c r="U49"/>
  <c r="T52"/>
  <c r="T22"/>
  <c r="U62"/>
  <c r="U40"/>
  <c r="T31" i="20"/>
  <c r="U15"/>
  <c r="S61"/>
  <c r="T64"/>
  <c r="T21"/>
  <c r="T48"/>
  <c r="U60"/>
  <c r="U26"/>
  <c r="U56"/>
  <c r="T70"/>
  <c r="V70" s="1"/>
  <c r="U27"/>
  <c r="T63"/>
  <c r="T32"/>
  <c r="U19"/>
  <c r="U72"/>
  <c r="U72" i="21"/>
  <c r="V72" s="1"/>
  <c r="U56"/>
  <c r="U40"/>
  <c r="T66"/>
  <c r="T59"/>
  <c r="U22"/>
  <c r="T71"/>
  <c r="T27"/>
  <c r="U63"/>
  <c r="T29"/>
  <c r="U45"/>
  <c r="U18" i="22"/>
  <c r="U56"/>
  <c r="T66"/>
  <c r="T70"/>
  <c r="T71"/>
  <c r="T62"/>
  <c r="T12"/>
  <c r="U64"/>
  <c r="U67"/>
  <c r="U61"/>
  <c r="T45" i="23"/>
  <c r="T62"/>
  <c r="T48"/>
  <c r="T59"/>
  <c r="U14"/>
  <c r="T52" i="16"/>
  <c r="T53" i="20"/>
  <c r="U33" i="17"/>
  <c r="V49" i="16"/>
  <c r="T15"/>
  <c r="V58"/>
  <c r="U59"/>
  <c r="V13"/>
  <c r="M78"/>
  <c r="T10"/>
  <c r="T59"/>
  <c r="N78"/>
  <c r="T63" i="17"/>
  <c r="T33"/>
  <c r="U17" i="19"/>
  <c r="T21"/>
  <c r="U21" i="20"/>
  <c r="U48"/>
  <c r="U45"/>
  <c r="T31" i="23"/>
  <c r="T33"/>
  <c r="T28"/>
  <c r="V28" s="1"/>
  <c r="T48" i="17"/>
  <c r="T21"/>
  <c r="S60" i="18"/>
  <c r="T51"/>
  <c r="U30"/>
  <c r="T17" i="22"/>
  <c r="T64" i="23"/>
  <c r="U67"/>
  <c r="T51" i="17"/>
  <c r="U48"/>
  <c r="U38"/>
  <c r="T62" i="18"/>
  <c r="T17" i="19"/>
  <c r="T49" i="20"/>
  <c r="U54"/>
  <c r="T45"/>
  <c r="U44" i="23"/>
  <c r="T25" i="17"/>
  <c r="U43"/>
  <c r="U23"/>
  <c r="U41"/>
  <c r="U27"/>
  <c r="T16"/>
  <c r="V16" s="1"/>
  <c r="U14"/>
  <c r="U45"/>
  <c r="U67" i="18"/>
  <c r="T31"/>
  <c r="T66"/>
  <c r="U43"/>
  <c r="U47" i="19"/>
  <c r="T33"/>
  <c r="T35"/>
  <c r="T58"/>
  <c r="U36" i="20"/>
  <c r="U69"/>
  <c r="U29"/>
  <c r="T46"/>
  <c r="V46" s="1"/>
  <c r="U51" i="21"/>
  <c r="T30"/>
  <c r="U48"/>
  <c r="T28"/>
  <c r="U52"/>
  <c r="U26"/>
  <c r="U32" i="22"/>
  <c r="T48"/>
  <c r="T15"/>
  <c r="T11"/>
  <c r="V11" s="1"/>
  <c r="T20"/>
  <c r="U51"/>
  <c r="T47"/>
  <c r="U52" i="23"/>
  <c r="T39"/>
  <c r="U36" i="17"/>
  <c r="U25"/>
  <c r="T14"/>
  <c r="T18" i="18"/>
  <c r="U12"/>
  <c r="T32"/>
  <c r="T46" i="19"/>
  <c r="U61"/>
  <c r="V61" s="1"/>
  <c r="U31"/>
  <c r="U13"/>
  <c r="T53"/>
  <c r="U58"/>
  <c r="U11" i="20"/>
  <c r="T66"/>
  <c r="U23"/>
  <c r="U41"/>
  <c r="U51"/>
  <c r="U60" i="21"/>
  <c r="U28"/>
  <c r="U21"/>
  <c r="T33" i="22"/>
  <c r="T32"/>
  <c r="U31"/>
  <c r="T60"/>
  <c r="T53"/>
  <c r="U20"/>
  <c r="T54"/>
  <c r="U33" i="23"/>
  <c r="T35"/>
  <c r="T68"/>
  <c r="T23"/>
  <c r="T23" i="17"/>
  <c r="T41"/>
  <c r="T27"/>
  <c r="U18" i="18"/>
  <c r="U32"/>
  <c r="U46" i="19"/>
  <c r="T47"/>
  <c r="V47" s="1"/>
  <c r="T28"/>
  <c r="U53"/>
  <c r="T36" i="20"/>
  <c r="U66"/>
  <c r="T69"/>
  <c r="V69" s="1"/>
  <c r="T29"/>
  <c r="V29" s="1"/>
  <c r="T51" i="21"/>
  <c r="T48"/>
  <c r="T52"/>
  <c r="T26"/>
  <c r="U43"/>
  <c r="T58"/>
  <c r="U27" i="22"/>
  <c r="U60"/>
  <c r="U53"/>
  <c r="U54"/>
  <c r="T51"/>
  <c r="T52" i="23"/>
  <c r="U17"/>
  <c r="U37"/>
  <c r="U20"/>
  <c r="U35"/>
  <c r="T32"/>
  <c r="U68"/>
  <c r="U23"/>
  <c r="T29"/>
  <c r="T59" i="17"/>
  <c r="U20" i="18"/>
  <c r="V20" s="1"/>
  <c r="U44" i="19"/>
  <c r="U33" i="22"/>
  <c r="U47" i="17"/>
  <c r="U52"/>
  <c r="U59"/>
  <c r="S27" i="18"/>
  <c r="T59"/>
  <c r="U62"/>
  <c r="U63"/>
  <c r="T49" i="19"/>
  <c r="T33" i="20"/>
  <c r="U44" i="22"/>
  <c r="U29" i="23"/>
  <c r="U17" i="17"/>
  <c r="U63"/>
  <c r="U18"/>
  <c r="T28" i="18"/>
  <c r="T50" i="20"/>
  <c r="T44" i="22"/>
  <c r="T50" i="17"/>
  <c r="U53" i="18"/>
  <c r="T27" i="19"/>
  <c r="T17" i="17"/>
  <c r="T47"/>
  <c r="T52"/>
  <c r="T36"/>
  <c r="U50"/>
  <c r="U56"/>
  <c r="T38"/>
  <c r="U30"/>
  <c r="T52" i="18"/>
  <c r="U51"/>
  <c r="T46"/>
  <c r="U35"/>
  <c r="U59"/>
  <c r="T30"/>
  <c r="T63"/>
  <c r="T38"/>
  <c r="T53"/>
  <c r="T44" i="19"/>
  <c r="U33"/>
  <c r="U27"/>
  <c r="T44" i="23"/>
  <c r="U64"/>
  <c r="T67"/>
  <c r="T65"/>
  <c r="U47" i="21"/>
  <c r="U16"/>
  <c r="U23"/>
  <c r="T47"/>
  <c r="T16"/>
  <c r="U62" i="20"/>
  <c r="T43" i="18"/>
  <c r="T30" i="17"/>
  <c r="T45"/>
  <c r="U65" i="23"/>
  <c r="T14" i="22"/>
  <c r="U26"/>
  <c r="U45"/>
  <c r="U19"/>
  <c r="T19" i="21"/>
  <c r="T61"/>
  <c r="U19"/>
  <c r="T31"/>
  <c r="U33"/>
  <c r="U41"/>
  <c r="U31"/>
  <c r="T54"/>
  <c r="T49"/>
  <c r="T50"/>
  <c r="U50" i="20"/>
  <c r="U39"/>
  <c r="T13"/>
  <c r="T30"/>
  <c r="U13"/>
  <c r="T44"/>
  <c r="T12"/>
  <c r="U21" i="19"/>
  <c r="U26"/>
  <c r="N78" i="23"/>
  <c r="U10"/>
  <c r="U53"/>
  <c r="U56"/>
  <c r="U25"/>
  <c r="U46"/>
  <c r="V12"/>
  <c r="T51"/>
  <c r="U43"/>
  <c r="O78"/>
  <c r="R78" s="1"/>
  <c r="R74"/>
  <c r="S78" s="1"/>
  <c r="T10"/>
  <c r="M78"/>
  <c r="T38"/>
  <c r="U51"/>
  <c r="T54"/>
  <c r="T60"/>
  <c r="T25"/>
  <c r="U38"/>
  <c r="T53"/>
  <c r="U54"/>
  <c r="U60"/>
  <c r="T56"/>
  <c r="T43"/>
  <c r="T46"/>
  <c r="O78" i="22"/>
  <c r="R78" s="1"/>
  <c r="R74"/>
  <c r="S78" s="1"/>
  <c r="N78"/>
  <c r="U10"/>
  <c r="T19"/>
  <c r="U50"/>
  <c r="T10"/>
  <c r="M78"/>
  <c r="T25"/>
  <c r="T49"/>
  <c r="U21"/>
  <c r="T41"/>
  <c r="U49"/>
  <c r="U14"/>
  <c r="T26"/>
  <c r="U41"/>
  <c r="T45"/>
  <c r="T50"/>
  <c r="U25"/>
  <c r="O78" i="21"/>
  <c r="R78" s="1"/>
  <c r="R74"/>
  <c r="S78" s="1"/>
  <c r="T10"/>
  <c r="M78"/>
  <c r="U53"/>
  <c r="U38"/>
  <c r="U25"/>
  <c r="T67"/>
  <c r="T33"/>
  <c r="U17"/>
  <c r="U50"/>
  <c r="N78"/>
  <c r="U10"/>
  <c r="T44"/>
  <c r="T25"/>
  <c r="U61"/>
  <c r="T41"/>
  <c r="U67"/>
  <c r="T53"/>
  <c r="U54"/>
  <c r="U44"/>
  <c r="T38"/>
  <c r="T17"/>
  <c r="U49"/>
  <c r="O78" i="20"/>
  <c r="R78" s="1"/>
  <c r="R74"/>
  <c r="S78" s="1"/>
  <c r="T62"/>
  <c r="U17"/>
  <c r="U43"/>
  <c r="S25"/>
  <c r="N78"/>
  <c r="U10"/>
  <c r="T25"/>
  <c r="U61"/>
  <c r="U12"/>
  <c r="V71"/>
  <c r="T17"/>
  <c r="T52"/>
  <c r="T43"/>
  <c r="T10"/>
  <c r="M78"/>
  <c r="U49"/>
  <c r="V58"/>
  <c r="U52"/>
  <c r="T10" i="19"/>
  <c r="M78"/>
  <c r="U14"/>
  <c r="T26"/>
  <c r="U41"/>
  <c r="T45"/>
  <c r="T50"/>
  <c r="U25"/>
  <c r="O78"/>
  <c r="R78" s="1"/>
  <c r="R74"/>
  <c r="S78" s="1"/>
  <c r="T19"/>
  <c r="U50"/>
  <c r="N78"/>
  <c r="U10"/>
  <c r="V63"/>
  <c r="T14"/>
  <c r="U45"/>
  <c r="U19"/>
  <c r="T25"/>
  <c r="V72"/>
  <c r="T41"/>
  <c r="T60" i="18"/>
  <c r="T35"/>
  <c r="T15"/>
  <c r="U71"/>
  <c r="T25"/>
  <c r="U33"/>
  <c r="T13"/>
  <c r="V36"/>
  <c r="U49"/>
  <c r="T48"/>
  <c r="U10"/>
  <c r="N78"/>
  <c r="O78"/>
  <c r="R78" s="1"/>
  <c r="R74"/>
  <c r="S78" s="1"/>
  <c r="T21"/>
  <c r="T64"/>
  <c r="T54"/>
  <c r="U21"/>
  <c r="T44"/>
  <c r="S64"/>
  <c r="V37"/>
  <c r="T22"/>
  <c r="U13"/>
  <c r="T29"/>
  <c r="U25"/>
  <c r="U54"/>
  <c r="T40"/>
  <c r="U15"/>
  <c r="T56"/>
  <c r="U48"/>
  <c r="T19"/>
  <c r="U44"/>
  <c r="T50"/>
  <c r="M78"/>
  <c r="T10"/>
  <c r="U19"/>
  <c r="U22"/>
  <c r="U29"/>
  <c r="T33"/>
  <c r="U40"/>
  <c r="U56"/>
  <c r="T71"/>
  <c r="T49"/>
  <c r="U50"/>
  <c r="U37" i="17"/>
  <c r="T20"/>
  <c r="U53"/>
  <c r="U22"/>
  <c r="V26"/>
  <c r="U61"/>
  <c r="T10"/>
  <c r="M78"/>
  <c r="N78"/>
  <c r="U10"/>
  <c r="O78"/>
  <c r="R78" s="1"/>
  <c r="R74"/>
  <c r="S78" s="1"/>
  <c r="V31"/>
  <c r="V12"/>
  <c r="U54"/>
  <c r="U20"/>
  <c r="U44"/>
  <c r="S37"/>
  <c r="T54"/>
  <c r="T22"/>
  <c r="U32"/>
  <c r="T53"/>
  <c r="T71"/>
  <c r="U21"/>
  <c r="V66"/>
  <c r="U71"/>
  <c r="T32"/>
  <c r="T44"/>
  <c r="T15" i="1"/>
  <c r="T46"/>
  <c r="U72"/>
  <c r="U58"/>
  <c r="T60"/>
  <c r="T53"/>
  <c r="T21"/>
  <c r="T58"/>
  <c r="U46"/>
  <c r="T28"/>
  <c r="U30"/>
  <c r="U21"/>
  <c r="U38"/>
  <c r="U70"/>
  <c r="U28"/>
  <c r="T33"/>
  <c r="T72"/>
  <c r="T30"/>
  <c r="T38"/>
  <c r="U32"/>
  <c r="U54"/>
  <c r="U59"/>
  <c r="T27"/>
  <c r="U60"/>
  <c r="T11"/>
  <c r="U19"/>
  <c r="U11"/>
  <c r="T50"/>
  <c r="T12"/>
  <c r="U27"/>
  <c r="T17"/>
  <c r="T54"/>
  <c r="U53"/>
  <c r="U15"/>
  <c r="U44"/>
  <c r="T44"/>
  <c r="S46"/>
  <c r="U12"/>
  <c r="T32"/>
  <c r="U17"/>
  <c r="U33"/>
  <c r="T59"/>
  <c r="V59" s="1"/>
  <c r="S71"/>
  <c r="T37"/>
  <c r="T71"/>
  <c r="U13"/>
  <c r="T56"/>
  <c r="T62"/>
  <c r="T52"/>
  <c r="T13"/>
  <c r="T48"/>
  <c r="T70"/>
  <c r="U66"/>
  <c r="T19"/>
  <c r="V19" s="1"/>
  <c r="U62"/>
  <c r="U48"/>
  <c r="T29"/>
  <c r="T25"/>
  <c r="U41"/>
  <c r="U18"/>
  <c r="T22"/>
  <c r="U25"/>
  <c r="T40"/>
  <c r="T45"/>
  <c r="U22"/>
  <c r="U37"/>
  <c r="U45"/>
  <c r="T18"/>
  <c r="T51"/>
  <c r="U40"/>
  <c r="U51"/>
  <c r="T41"/>
  <c r="T57"/>
  <c r="V63"/>
  <c r="U35"/>
  <c r="T16"/>
  <c r="T43"/>
  <c r="U65"/>
  <c r="U69"/>
  <c r="T20"/>
  <c r="T35"/>
  <c r="U43"/>
  <c r="T67"/>
  <c r="U50"/>
  <c r="U16"/>
  <c r="U20"/>
  <c r="T69"/>
  <c r="T47"/>
  <c r="U47"/>
  <c r="U67"/>
  <c r="T65"/>
  <c r="T66"/>
  <c r="U56"/>
  <c r="U52"/>
  <c r="U29"/>
  <c r="U14"/>
  <c r="U26"/>
  <c r="T14"/>
  <c r="T26"/>
  <c r="U23"/>
  <c r="T23"/>
  <c r="U64"/>
  <c r="T31"/>
  <c r="O78"/>
  <c r="R78" s="1"/>
  <c r="R74"/>
  <c r="S78" s="1"/>
  <c r="T39"/>
  <c r="N78"/>
  <c r="U31"/>
  <c r="U57"/>
  <c r="U39"/>
  <c r="U10"/>
  <c r="M78"/>
  <c r="T36"/>
  <c r="T61"/>
  <c r="T64"/>
  <c r="T10"/>
  <c r="U36"/>
  <c r="V49"/>
  <c r="U61"/>
  <c r="V14" i="17" l="1"/>
  <c r="Y14" s="1"/>
  <c r="V36" i="21"/>
  <c r="Y11" i="16"/>
  <c r="X11"/>
  <c r="Z11" s="1"/>
  <c r="V14" i="23"/>
  <c r="Y14" s="1"/>
  <c r="V50" i="16"/>
  <c r="V57" i="22"/>
  <c r="V68"/>
  <c r="Y68" s="1"/>
  <c r="V30" i="21"/>
  <c r="Y30" s="1"/>
  <c r="V39" i="17"/>
  <c r="V35" i="21"/>
  <c r="V14" i="16"/>
  <c r="X14" s="1"/>
  <c r="Z14" s="1"/>
  <c r="V37"/>
  <c r="X37" s="1"/>
  <c r="Z37" s="1"/>
  <c r="V46"/>
  <c r="V35" i="20"/>
  <c r="V31" i="19"/>
  <c r="Y31" s="1"/>
  <c r="V38"/>
  <c r="X38" s="1"/>
  <c r="Z38" s="1"/>
  <c r="V45" i="18"/>
  <c r="V18" i="19"/>
  <c r="V19" i="23"/>
  <c r="X19" s="1"/>
  <c r="Z19" s="1"/>
  <c r="V60" i="16"/>
  <c r="X60" s="1"/>
  <c r="Z60" s="1"/>
  <c r="V41"/>
  <c r="V58" i="21"/>
  <c r="V67" i="20"/>
  <c r="Y67" s="1"/>
  <c r="V38"/>
  <c r="Y38" s="1"/>
  <c r="V61" i="17"/>
  <c r="V12" i="22"/>
  <c r="V46" i="17"/>
  <c r="X46" s="1"/>
  <c r="Z46" s="1"/>
  <c r="V40" i="23"/>
  <c r="Y40" s="1"/>
  <c r="V28" i="20"/>
  <c r="V40" i="16"/>
  <c r="V56"/>
  <c r="Y56" s="1"/>
  <c r="V57" i="18"/>
  <c r="X57" s="1"/>
  <c r="Z57" s="1"/>
  <c r="V17" i="16"/>
  <c r="V37" i="22"/>
  <c r="V25" i="16"/>
  <c r="Y25" s="1"/>
  <c r="V28"/>
  <c r="Y28" s="1"/>
  <c r="V67"/>
  <c r="V17" i="18"/>
  <c r="V23" i="16"/>
  <c r="X23" s="1"/>
  <c r="Z23" s="1"/>
  <c r="V31"/>
  <c r="X31" s="1"/>
  <c r="Z31" s="1"/>
  <c r="V40" i="17"/>
  <c r="V68" i="1"/>
  <c r="V30" i="16"/>
  <c r="X30" s="1"/>
  <c r="Z30" s="1"/>
  <c r="V18" i="22"/>
  <c r="X18" s="1"/>
  <c r="Z18" s="1"/>
  <c r="V35"/>
  <c r="V12" i="21"/>
  <c r="Y53" i="16"/>
  <c r="V69"/>
  <c r="X69" s="1"/>
  <c r="Z69" s="1"/>
  <c r="V57" i="21"/>
  <c r="V67" i="19"/>
  <c r="V58" i="23"/>
  <c r="X58" s="1"/>
  <c r="Z58" s="1"/>
  <c r="V65" i="20"/>
  <c r="X65" s="1"/>
  <c r="Z65" s="1"/>
  <c r="V47" i="16"/>
  <c r="V30" i="22"/>
  <c r="Y14" i="16"/>
  <c r="V26" i="20"/>
  <c r="X26" s="1"/>
  <c r="Z26" s="1"/>
  <c r="V11" i="17"/>
  <c r="V27" i="16"/>
  <c r="V22"/>
  <c r="Y22" s="1"/>
  <c r="V64" i="20"/>
  <c r="Y64" s="1"/>
  <c r="V59" i="19"/>
  <c r="V23" i="18"/>
  <c r="V65" i="16"/>
  <c r="X65" s="1"/>
  <c r="Z65" s="1"/>
  <c r="Y65" i="20"/>
  <c r="V44"/>
  <c r="V40" i="21"/>
  <c r="V13" i="23"/>
  <c r="Y13" s="1"/>
  <c r="V18" i="17"/>
  <c r="Y18" s="1"/>
  <c r="V69" i="19"/>
  <c r="V62" i="21"/>
  <c r="V49" i="23"/>
  <c r="Y49" s="1"/>
  <c r="Y60" i="16"/>
  <c r="V36" i="22"/>
  <c r="V16" i="16"/>
  <c r="V66"/>
  <c r="X66" s="1"/>
  <c r="Z66" s="1"/>
  <c r="V51" i="20"/>
  <c r="X51" s="1"/>
  <c r="Z51" s="1"/>
  <c r="V11"/>
  <c r="V48" i="22"/>
  <c r="Y48" s="1"/>
  <c r="V62" i="23"/>
  <c r="Y62" s="1"/>
  <c r="V22" i="20"/>
  <c r="Y22" s="1"/>
  <c r="V36" i="16"/>
  <c r="V70" i="17"/>
  <c r="Y70" s="1"/>
  <c r="V57"/>
  <c r="Y57" s="1"/>
  <c r="V39" i="18"/>
  <c r="X39" s="1"/>
  <c r="Z39" s="1"/>
  <c r="V22" i="23"/>
  <c r="V19" i="16"/>
  <c r="X19" s="1"/>
  <c r="Z19" s="1"/>
  <c r="V58" i="1"/>
  <c r="X58" s="1"/>
  <c r="Z58" s="1"/>
  <c r="V69" i="18"/>
  <c r="Y69" s="1"/>
  <c r="V71" i="16"/>
  <c r="V40" i="20"/>
  <c r="Y40" s="1"/>
  <c r="V26" i="18"/>
  <c r="Y26" s="1"/>
  <c r="V37" i="23"/>
  <c r="X37" s="1"/>
  <c r="Z37" s="1"/>
  <c r="V37" i="20"/>
  <c r="Y37" s="1"/>
  <c r="V11" i="18"/>
  <c r="X11" s="1"/>
  <c r="Z11" s="1"/>
  <c r="V41" i="20"/>
  <c r="Y41" s="1"/>
  <c r="V47" i="23"/>
  <c r="X47" s="1"/>
  <c r="Z47" s="1"/>
  <c r="V38" i="22"/>
  <c r="V50" i="23"/>
  <c r="X50" s="1"/>
  <c r="Z50" s="1"/>
  <c r="V68" i="16"/>
  <c r="X68" s="1"/>
  <c r="Z68" s="1"/>
  <c r="V72" i="22"/>
  <c r="Y72" s="1"/>
  <c r="V44" i="23"/>
  <c r="V18" i="21"/>
  <c r="X18" s="1"/>
  <c r="Z18" s="1"/>
  <c r="V69" i="22"/>
  <c r="X69" s="1"/>
  <c r="Z69" s="1"/>
  <c r="V37" i="21"/>
  <c r="X37" s="1"/>
  <c r="Z37" s="1"/>
  <c r="V32"/>
  <c r="V65"/>
  <c r="Y65" s="1"/>
  <c r="V63"/>
  <c r="X63" s="1"/>
  <c r="Z63" s="1"/>
  <c r="V39"/>
  <c r="X39" s="1"/>
  <c r="Z39" s="1"/>
  <c r="V52" i="22"/>
  <c r="X52" s="1"/>
  <c r="Z52" s="1"/>
  <c r="V68" i="21"/>
  <c r="X68" s="1"/>
  <c r="Z68" s="1"/>
  <c r="V15"/>
  <c r="X15" s="1"/>
  <c r="Z15" s="1"/>
  <c r="V63" i="20"/>
  <c r="Y63" s="1"/>
  <c r="V65" i="18"/>
  <c r="V21" i="17"/>
  <c r="Y21" s="1"/>
  <c r="V46" i="18"/>
  <c r="X46" s="1"/>
  <c r="Z46" s="1"/>
  <c r="V60" i="21"/>
  <c r="X60" s="1"/>
  <c r="Z60" s="1"/>
  <c r="V54" i="20"/>
  <c r="X54" s="1"/>
  <c r="Z54" s="1"/>
  <c r="V33" i="16"/>
  <c r="X33" s="1"/>
  <c r="Z33" s="1"/>
  <c r="V13" i="22"/>
  <c r="Y13" s="1"/>
  <c r="V64" i="19"/>
  <c r="Y64" s="1"/>
  <c r="V13" i="17"/>
  <c r="V40" i="22"/>
  <c r="Y40" s="1"/>
  <c r="Y23" i="16"/>
  <c r="V71" i="21"/>
  <c r="X71" s="1"/>
  <c r="Z71" s="1"/>
  <c r="V71" i="23"/>
  <c r="Y71" s="1"/>
  <c r="V56" i="19"/>
  <c r="X56" s="1"/>
  <c r="Z56" s="1"/>
  <c r="V39" i="22"/>
  <c r="X39" s="1"/>
  <c r="Z39" s="1"/>
  <c r="U78" i="16"/>
  <c r="V67" i="22"/>
  <c r="Y67" s="1"/>
  <c r="V58" i="17"/>
  <c r="Y58" s="1"/>
  <c r="V57" i="20"/>
  <c r="Y57" s="1"/>
  <c r="V12" i="16"/>
  <c r="Y12" s="1"/>
  <c r="X72"/>
  <c r="Z72" s="1"/>
  <c r="V43" i="21"/>
  <c r="Y43" s="1"/>
  <c r="V31" i="23"/>
  <c r="Y31" s="1"/>
  <c r="V20" i="20"/>
  <c r="Y20" s="1"/>
  <c r="V47"/>
  <c r="V22" i="22"/>
  <c r="X22" s="1"/>
  <c r="Z22" s="1"/>
  <c r="V56" i="20"/>
  <c r="X56" s="1"/>
  <c r="Z56" s="1"/>
  <c r="V19" i="17"/>
  <c r="X19" s="1"/>
  <c r="Z19" s="1"/>
  <c r="V28" i="22"/>
  <c r="X28" s="1"/>
  <c r="Z28" s="1"/>
  <c r="X43" i="16"/>
  <c r="Z43" s="1"/>
  <c r="V27" i="22"/>
  <c r="X27" s="1"/>
  <c r="Z27" s="1"/>
  <c r="V44" i="16"/>
  <c r="V22" i="21"/>
  <c r="X22" s="1"/>
  <c r="Z22" s="1"/>
  <c r="V32" i="16"/>
  <c r="X32" s="1"/>
  <c r="Z32" s="1"/>
  <c r="V57"/>
  <c r="X57" s="1"/>
  <c r="Z57" s="1"/>
  <c r="V56" i="17"/>
  <c r="Y56" s="1"/>
  <c r="V18" i="20"/>
  <c r="Y18" s="1"/>
  <c r="V64" i="21"/>
  <c r="Y64" s="1"/>
  <c r="V63" i="18"/>
  <c r="Y63" s="1"/>
  <c r="V31" i="20"/>
  <c r="X31" s="1"/>
  <c r="Z31" s="1"/>
  <c r="V11" i="19"/>
  <c r="Y11" s="1"/>
  <c r="V48" i="23"/>
  <c r="X48" s="1"/>
  <c r="Z48" s="1"/>
  <c r="V66" i="21"/>
  <c r="Y66" s="1"/>
  <c r="X64" i="16"/>
  <c r="Z64" s="1"/>
  <c r="Y64"/>
  <c r="Y28" i="20"/>
  <c r="X28"/>
  <c r="Z28" s="1"/>
  <c r="X57" i="22"/>
  <c r="Z57" s="1"/>
  <c r="Y57"/>
  <c r="X36"/>
  <c r="Z36" s="1"/>
  <c r="Y36"/>
  <c r="Y20" i="18"/>
  <c r="X20"/>
  <c r="Z20" s="1"/>
  <c r="X58" i="21"/>
  <c r="Z58" s="1"/>
  <c r="Y58"/>
  <c r="Y47" i="19"/>
  <c r="X47"/>
  <c r="Z47" s="1"/>
  <c r="X16" i="17"/>
  <c r="Z16" s="1"/>
  <c r="Y16"/>
  <c r="Y39" i="16"/>
  <c r="X39"/>
  <c r="Z39" s="1"/>
  <c r="Y58"/>
  <c r="X58"/>
  <c r="Z58" s="1"/>
  <c r="X12" i="22"/>
  <c r="Z12" s="1"/>
  <c r="Y12"/>
  <c r="X66" i="23"/>
  <c r="Z66" s="1"/>
  <c r="Y66"/>
  <c r="Y50" i="16"/>
  <c r="X50"/>
  <c r="Z50" s="1"/>
  <c r="X59" i="22"/>
  <c r="Z59" s="1"/>
  <c r="Y59"/>
  <c r="X69" i="19"/>
  <c r="Z69" s="1"/>
  <c r="Y69"/>
  <c r="X16" i="18"/>
  <c r="Z16" s="1"/>
  <c r="Y16"/>
  <c r="Y16" i="19"/>
  <c r="X16"/>
  <c r="Z16" s="1"/>
  <c r="X67" i="16"/>
  <c r="Z67" s="1"/>
  <c r="Y67"/>
  <c r="X17"/>
  <c r="Z17" s="1"/>
  <c r="Y17"/>
  <c r="Y46"/>
  <c r="X46"/>
  <c r="Z46" s="1"/>
  <c r="X65" i="17"/>
  <c r="Z65" s="1"/>
  <c r="Y65"/>
  <c r="X62" i="16"/>
  <c r="Z62" s="1"/>
  <c r="Y62"/>
  <c r="Y41" i="18"/>
  <c r="X41"/>
  <c r="Z41" s="1"/>
  <c r="X62" i="21"/>
  <c r="Z62" s="1"/>
  <c r="Y62"/>
  <c r="X31" i="17"/>
  <c r="Z31" s="1"/>
  <c r="Y31"/>
  <c r="X26"/>
  <c r="Z26" s="1"/>
  <c r="Y26"/>
  <c r="X36" i="18"/>
  <c r="Z36" s="1"/>
  <c r="Y36"/>
  <c r="X63" i="19"/>
  <c r="Z63" s="1"/>
  <c r="Y63"/>
  <c r="X71" i="20"/>
  <c r="Z71" s="1"/>
  <c r="Y71"/>
  <c r="X29"/>
  <c r="Z29" s="1"/>
  <c r="Y29"/>
  <c r="X12" i="23"/>
  <c r="Z12" s="1"/>
  <c r="Y12"/>
  <c r="X30" i="22"/>
  <c r="Z30" s="1"/>
  <c r="Y30"/>
  <c r="X59" i="19"/>
  <c r="Z59" s="1"/>
  <c r="Y59"/>
  <c r="X17" i="18"/>
  <c r="Z17" s="1"/>
  <c r="Y17"/>
  <c r="X69" i="20"/>
  <c r="Z69" s="1"/>
  <c r="Y69"/>
  <c r="X11" i="22"/>
  <c r="Z11" s="1"/>
  <c r="Y11"/>
  <c r="Y28" i="23"/>
  <c r="X28"/>
  <c r="Z28" s="1"/>
  <c r="Y66" i="16"/>
  <c r="Y61"/>
  <c r="X61"/>
  <c r="Z61" s="1"/>
  <c r="X40" i="21"/>
  <c r="Z40" s="1"/>
  <c r="Y40"/>
  <c r="X70" i="20"/>
  <c r="Z70" s="1"/>
  <c r="Y70"/>
  <c r="X47" i="16"/>
  <c r="Z47" s="1"/>
  <c r="Y47"/>
  <c r="X45"/>
  <c r="Z45" s="1"/>
  <c r="Y45"/>
  <c r="Y11" i="23"/>
  <c r="X11"/>
  <c r="Z11" s="1"/>
  <c r="X18" i="20"/>
  <c r="Z18" s="1"/>
  <c r="Y70" i="19"/>
  <c r="X70"/>
  <c r="Z70" s="1"/>
  <c r="X51" i="16"/>
  <c r="Z51" s="1"/>
  <c r="Y51"/>
  <c r="X16" i="23"/>
  <c r="Z16" s="1"/>
  <c r="Y16"/>
  <c r="X70" i="18"/>
  <c r="Z70" s="1"/>
  <c r="Y70"/>
  <c r="X39" i="17"/>
  <c r="Z39" s="1"/>
  <c r="Y39"/>
  <c r="Y63" i="16"/>
  <c r="X63"/>
  <c r="Z63" s="1"/>
  <c r="X35" i="21"/>
  <c r="Z35" s="1"/>
  <c r="Y35"/>
  <c r="X40" i="16"/>
  <c r="Z40" s="1"/>
  <c r="Y40"/>
  <c r="X28"/>
  <c r="Z28" s="1"/>
  <c r="Y41" i="23"/>
  <c r="X41"/>
  <c r="Z41" s="1"/>
  <c r="X22"/>
  <c r="Z22" s="1"/>
  <c r="Y22"/>
  <c r="Y52" i="22"/>
  <c r="X11" i="17"/>
  <c r="Z11" s="1"/>
  <c r="Y11"/>
  <c r="V63" i="22"/>
  <c r="X12" i="17"/>
  <c r="Z12" s="1"/>
  <c r="Y12"/>
  <c r="X61"/>
  <c r="Z61" s="1"/>
  <c r="Y61"/>
  <c r="X37" i="18"/>
  <c r="Z37" s="1"/>
  <c r="Y37"/>
  <c r="Y35" i="20"/>
  <c r="X35"/>
  <c r="Z35" s="1"/>
  <c r="Y44"/>
  <c r="X44"/>
  <c r="Z44" s="1"/>
  <c r="X14" i="21"/>
  <c r="Z14" s="1"/>
  <c r="Y14"/>
  <c r="X35" i="22"/>
  <c r="Z35" s="1"/>
  <c r="Y35"/>
  <c r="X21" i="23"/>
  <c r="Z21" s="1"/>
  <c r="Y21"/>
  <c r="X37" i="22"/>
  <c r="Z37" s="1"/>
  <c r="Y37"/>
  <c r="X44" i="23"/>
  <c r="Z44" s="1"/>
  <c r="Y44"/>
  <c r="Y11" i="18"/>
  <c r="X61" i="19"/>
  <c r="Z61" s="1"/>
  <c r="Y61"/>
  <c r="X16" i="16"/>
  <c r="Z16" s="1"/>
  <c r="Y16"/>
  <c r="X49"/>
  <c r="Z49" s="1"/>
  <c r="Y49"/>
  <c r="Y71"/>
  <c r="X71"/>
  <c r="Z71" s="1"/>
  <c r="Y18" i="22"/>
  <c r="X23"/>
  <c r="Z23" s="1"/>
  <c r="Y23"/>
  <c r="X57" i="21"/>
  <c r="Z57" s="1"/>
  <c r="Y57"/>
  <c r="X32"/>
  <c r="Z32" s="1"/>
  <c r="Y32"/>
  <c r="X67" i="19"/>
  <c r="Z67" s="1"/>
  <c r="Y67"/>
  <c r="Y35" i="16"/>
  <c r="X35"/>
  <c r="Z35" s="1"/>
  <c r="X70" i="21"/>
  <c r="Z70" s="1"/>
  <c r="Y70"/>
  <c r="Y15" i="17"/>
  <c r="X15"/>
  <c r="Z15" s="1"/>
  <c r="X38" i="16"/>
  <c r="Z38" s="1"/>
  <c r="Y38"/>
  <c r="Y21"/>
  <c r="X21"/>
  <c r="Z21" s="1"/>
  <c r="X12" i="21"/>
  <c r="Z12" s="1"/>
  <c r="Y12"/>
  <c r="Y27" i="16"/>
  <c r="X27"/>
  <c r="Z27" s="1"/>
  <c r="X39" i="19"/>
  <c r="Z39" s="1"/>
  <c r="Y39"/>
  <c r="X57" i="23"/>
  <c r="Z57" s="1"/>
  <c r="Y57"/>
  <c r="X47" i="20"/>
  <c r="Z47" s="1"/>
  <c r="Y47"/>
  <c r="X66" i="17"/>
  <c r="Z66" s="1"/>
  <c r="Y66"/>
  <c r="Y47" i="18"/>
  <c r="X47"/>
  <c r="Z47" s="1"/>
  <c r="Y72" i="19"/>
  <c r="X72"/>
  <c r="Z72" s="1"/>
  <c r="X58" i="20"/>
  <c r="Z58" s="1"/>
  <c r="Y58"/>
  <c r="X40" i="17"/>
  <c r="Z40" s="1"/>
  <c r="Y40"/>
  <c r="X65" i="18"/>
  <c r="Z65" s="1"/>
  <c r="Y65"/>
  <c r="Y26" i="20"/>
  <c r="X40"/>
  <c r="Z40" s="1"/>
  <c r="X30" i="23"/>
  <c r="Z30" s="1"/>
  <c r="Y30"/>
  <c r="X38" i="22"/>
  <c r="Z38" s="1"/>
  <c r="Y38"/>
  <c r="Y66" i="19"/>
  <c r="X66"/>
  <c r="Z66" s="1"/>
  <c r="Y11" i="20"/>
  <c r="X11"/>
  <c r="Z11" s="1"/>
  <c r="X48" i="22"/>
  <c r="Z48" s="1"/>
  <c r="Y46" i="20"/>
  <c r="X46"/>
  <c r="Z46" s="1"/>
  <c r="X61" i="18"/>
  <c r="Z61" s="1"/>
  <c r="Y61"/>
  <c r="X36" i="16"/>
  <c r="Z36" s="1"/>
  <c r="Y36"/>
  <c r="Y37"/>
  <c r="Y13"/>
  <c r="X13"/>
  <c r="Z13" s="1"/>
  <c r="X72" i="21"/>
  <c r="Z72" s="1"/>
  <c r="Y72"/>
  <c r="X64" i="20"/>
  <c r="Z64" s="1"/>
  <c r="X61" i="23"/>
  <c r="Z61" s="1"/>
  <c r="Y61"/>
  <c r="Y68" i="19"/>
  <c r="X68"/>
  <c r="Z68" s="1"/>
  <c r="X23" i="18"/>
  <c r="Z23" s="1"/>
  <c r="Y23"/>
  <c r="X20" i="21"/>
  <c r="Z20" s="1"/>
  <c r="Y20"/>
  <c r="X45" i="18"/>
  <c r="Z45" s="1"/>
  <c r="Y45"/>
  <c r="Y18" i="19"/>
  <c r="X18"/>
  <c r="Z18" s="1"/>
  <c r="X36" i="21"/>
  <c r="Z36" s="1"/>
  <c r="Y36"/>
  <c r="Y12" i="19"/>
  <c r="X12"/>
  <c r="Z12" s="1"/>
  <c r="Y41" i="16"/>
  <c r="X41"/>
  <c r="Z41" s="1"/>
  <c r="X13" i="17"/>
  <c r="Z13" s="1"/>
  <c r="Y13"/>
  <c r="Y15" i="23"/>
  <c r="X15"/>
  <c r="Z15" s="1"/>
  <c r="Y28" i="22"/>
  <c r="Y68" i="21"/>
  <c r="V59" i="23"/>
  <c r="V53"/>
  <c r="V17" i="17"/>
  <c r="V66" i="20"/>
  <c r="V26" i="23"/>
  <c r="V72" i="20"/>
  <c r="V31" i="22"/>
  <c r="V46" i="21"/>
  <c r="V20" i="16"/>
  <c r="V32" i="19"/>
  <c r="V72" i="23"/>
  <c r="V61" i="21"/>
  <c r="V45" i="20"/>
  <c r="V22" i="19"/>
  <c r="V29" i="17"/>
  <c r="V20" i="23"/>
  <c r="V14" i="20"/>
  <c r="V21" i="22"/>
  <c r="V28" i="19"/>
  <c r="V15" i="16"/>
  <c r="V56" i="22"/>
  <c r="V48" i="19"/>
  <c r="V27" i="18"/>
  <c r="V21" i="21"/>
  <c r="V21" i="19"/>
  <c r="V33" i="20"/>
  <c r="V32" i="23"/>
  <c r="V36" i="20"/>
  <c r="V12" i="18"/>
  <c r="V70" i="23"/>
  <c r="V59" i="20"/>
  <c r="V60" i="19"/>
  <c r="V63" i="23"/>
  <c r="V61" i="20"/>
  <c r="V39"/>
  <c r="V31" i="18"/>
  <c r="V49" i="19"/>
  <c r="V45" i="23"/>
  <c r="V29" i="21"/>
  <c r="V56"/>
  <c r="V52" i="19"/>
  <c r="V69" i="21"/>
  <c r="V69" i="17"/>
  <c r="V65" i="19"/>
  <c r="V27" i="21"/>
  <c r="V57" i="19"/>
  <c r="V71" i="22"/>
  <c r="V27" i="19"/>
  <c r="V43" i="22"/>
  <c r="V37" i="19"/>
  <c r="V21" i="20"/>
  <c r="V52" i="18"/>
  <c r="V49" i="17"/>
  <c r="V36" i="19"/>
  <c r="V13"/>
  <c r="V54"/>
  <c r="V35" i="17"/>
  <c r="V58" i="18"/>
  <c r="V72" i="17"/>
  <c r="V13" i="20"/>
  <c r="V53" i="19"/>
  <c r="V52" i="23"/>
  <c r="V62" i="18"/>
  <c r="V30"/>
  <c r="V17" i="19"/>
  <c r="V68" i="18"/>
  <c r="V29" i="22"/>
  <c r="V53" i="18"/>
  <c r="V26" i="21"/>
  <c r="V18" i="18"/>
  <c r="V28"/>
  <c r="V64" i="22"/>
  <c r="V62" i="19"/>
  <c r="V43"/>
  <c r="V40"/>
  <c r="V27" i="23"/>
  <c r="V16" i="22"/>
  <c r="V27" i="20"/>
  <c r="V60"/>
  <c r="V30" i="19"/>
  <c r="V51" i="17"/>
  <c r="V45" i="21"/>
  <c r="V16" i="20"/>
  <c r="V51" i="19"/>
  <c r="V67" i="17"/>
  <c r="V58" i="22"/>
  <c r="V44"/>
  <c r="V46" i="19"/>
  <c r="V28" i="21"/>
  <c r="V17" i="22"/>
  <c r="V33" i="23"/>
  <c r="V71" i="19"/>
  <c r="V23" i="21"/>
  <c r="V67" i="23"/>
  <c r="V33" i="19"/>
  <c r="V50" i="17"/>
  <c r="V68" i="23"/>
  <c r="V15" i="22"/>
  <c r="V52" i="21"/>
  <c r="V51" i="18"/>
  <c r="V33" i="17"/>
  <c r="V62" i="22"/>
  <c r="V59" i="21"/>
  <c r="V43" i="18"/>
  <c r="V59"/>
  <c r="V53" i="20"/>
  <c r="V66" i="22"/>
  <c r="V19" i="20"/>
  <c r="V48"/>
  <c r="V15"/>
  <c r="V20" i="19"/>
  <c r="V43" i="17"/>
  <c r="V29" i="19"/>
  <c r="V67" i="18"/>
  <c r="V60"/>
  <c r="V25" i="19"/>
  <c r="V26"/>
  <c r="V33" i="21"/>
  <c r="V14" i="22"/>
  <c r="V64" i="23"/>
  <c r="V36" i="17"/>
  <c r="V68" i="20"/>
  <c r="V47" i="17"/>
  <c r="V53" i="22"/>
  <c r="V17" i="23"/>
  <c r="V38" i="18"/>
  <c r="V32" i="20"/>
  <c r="V64" i="17"/>
  <c r="V18" i="16"/>
  <c r="V35" i="18"/>
  <c r="V62" i="20"/>
  <c r="V54" i="21"/>
  <c r="V50" i="20"/>
  <c r="V32" i="18"/>
  <c r="V60" i="22"/>
  <c r="V39" i="23"/>
  <c r="V20" i="22"/>
  <c r="V32"/>
  <c r="V48" i="21"/>
  <c r="V35" i="19"/>
  <c r="V66" i="18"/>
  <c r="V65" i="22"/>
  <c r="V69" i="23"/>
  <c r="V36"/>
  <c r="V63" i="17"/>
  <c r="V41"/>
  <c r="V35" i="23"/>
  <c r="V33" i="22"/>
  <c r="V58" i="19"/>
  <c r="V61" i="22"/>
  <c r="V29" i="16"/>
  <c r="V45" i="17"/>
  <c r="V10" i="16"/>
  <c r="V26"/>
  <c r="V46" i="22"/>
  <c r="V11" i="21"/>
  <c r="V23" i="20"/>
  <c r="V23" i="19"/>
  <c r="V70" i="16"/>
  <c r="V13" i="21"/>
  <c r="V60" i="17"/>
  <c r="V18" i="23"/>
  <c r="V70" i="22"/>
  <c r="V30" i="20"/>
  <c r="V47" i="22"/>
  <c r="V15" i="19"/>
  <c r="V12" i="20"/>
  <c r="V29" i="23"/>
  <c r="V54" i="22"/>
  <c r="V48" i="17"/>
  <c r="V48" i="16"/>
  <c r="V28" i="17"/>
  <c r="V51" i="22"/>
  <c r="V49" i="20"/>
  <c r="V26" i="22"/>
  <c r="T78" i="16"/>
  <c r="V71" i="18"/>
  <c r="V52" i="17"/>
  <c r="V51" i="21"/>
  <c r="V38" i="17"/>
  <c r="V23"/>
  <c r="V20"/>
  <c r="V62"/>
  <c r="V59"/>
  <c r="V27"/>
  <c r="V25"/>
  <c r="V68"/>
  <c r="V44" i="19"/>
  <c r="V52" i="16"/>
  <c r="V10" i="18"/>
  <c r="V23" i="23"/>
  <c r="T78" i="18"/>
  <c r="V10" i="21"/>
  <c r="V46" i="23"/>
  <c r="X19" i="1"/>
  <c r="Z19" s="1"/>
  <c r="Y19"/>
  <c r="X68"/>
  <c r="Z68" s="1"/>
  <c r="Y68"/>
  <c r="X63"/>
  <c r="Z63" s="1"/>
  <c r="Y63"/>
  <c r="X59"/>
  <c r="Z59" s="1"/>
  <c r="Y59"/>
  <c r="X49"/>
  <c r="Z49" s="1"/>
  <c r="Y49"/>
  <c r="V33" i="18"/>
  <c r="V38" i="21"/>
  <c r="U78" i="19"/>
  <c r="V53" i="21"/>
  <c r="V53" i="17"/>
  <c r="V37"/>
  <c r="T78" i="22"/>
  <c r="U78"/>
  <c r="V54" i="16"/>
  <c r="V30" i="17"/>
  <c r="V59" i="16"/>
  <c r="V69" i="1"/>
  <c r="V19" i="22"/>
  <c r="V43" i="20"/>
  <c r="V14" i="19"/>
  <c r="V49" i="18"/>
  <c r="V18" i="1"/>
  <c r="T78" i="20"/>
  <c r="V71" i="17"/>
  <c r="U78" i="18"/>
  <c r="V17" i="21"/>
  <c r="V48" i="18"/>
  <c r="V10" i="20"/>
  <c r="V17"/>
  <c r="V15" i="1"/>
  <c r="V40" i="18"/>
  <c r="V15"/>
  <c r="V65" i="23"/>
  <c r="V25" i="18"/>
  <c r="U78" i="20"/>
  <c r="V19" i="21"/>
  <c r="V25" i="23"/>
  <c r="T78"/>
  <c r="V31" i="21"/>
  <c r="V47"/>
  <c r="V16"/>
  <c r="V43" i="23"/>
  <c r="V10"/>
  <c r="V45" i="22"/>
  <c r="V25" i="21"/>
  <c r="V41" i="19"/>
  <c r="V22" i="17"/>
  <c r="V60" i="23"/>
  <c r="V38"/>
  <c r="V56"/>
  <c r="V54"/>
  <c r="V51"/>
  <c r="U78"/>
  <c r="V50" i="22"/>
  <c r="V10"/>
  <c r="V49"/>
  <c r="V25"/>
  <c r="V41"/>
  <c r="V44" i="21"/>
  <c r="V67"/>
  <c r="V50"/>
  <c r="U78"/>
  <c r="V49"/>
  <c r="V41"/>
  <c r="T78"/>
  <c r="V52" i="20"/>
  <c r="V25"/>
  <c r="V50" i="19"/>
  <c r="V10"/>
  <c r="V45"/>
  <c r="V19"/>
  <c r="T78"/>
  <c r="V19" i="18"/>
  <c r="V50"/>
  <c r="V29"/>
  <c r="V13"/>
  <c r="V64"/>
  <c r="V21"/>
  <c r="V56"/>
  <c r="V22"/>
  <c r="V44"/>
  <c r="V54"/>
  <c r="V32" i="17"/>
  <c r="V10"/>
  <c r="V44"/>
  <c r="V54"/>
  <c r="T78"/>
  <c r="U78"/>
  <c r="V46" i="1"/>
  <c r="V72"/>
  <c r="V60"/>
  <c r="V53"/>
  <c r="V21"/>
  <c r="V33"/>
  <c r="V32"/>
  <c r="V38"/>
  <c r="V70"/>
  <c r="V28"/>
  <c r="V66"/>
  <c r="V54"/>
  <c r="V30"/>
  <c r="V37"/>
  <c r="V17"/>
  <c r="V50"/>
  <c r="V48"/>
  <c r="V11"/>
  <c r="V65"/>
  <c r="V44"/>
  <c r="V52"/>
  <c r="V12"/>
  <c r="V27"/>
  <c r="V45"/>
  <c r="V41"/>
  <c r="V62"/>
  <c r="V71"/>
  <c r="V56"/>
  <c r="V40"/>
  <c r="V51"/>
  <c r="V13"/>
  <c r="V10"/>
  <c r="Y10" s="1"/>
  <c r="V29"/>
  <c r="V22"/>
  <c r="V43"/>
  <c r="V25"/>
  <c r="V26"/>
  <c r="V47"/>
  <c r="V20"/>
  <c r="V57"/>
  <c r="V16"/>
  <c r="V64"/>
  <c r="V67"/>
  <c r="V35"/>
  <c r="T78"/>
  <c r="V14"/>
  <c r="V23"/>
  <c r="V61"/>
  <c r="V36"/>
  <c r="V39"/>
  <c r="V31"/>
  <c r="U78"/>
  <c r="X69" i="18" l="1"/>
  <c r="Z69" s="1"/>
  <c r="Y57"/>
  <c r="X38" i="20"/>
  <c r="Z38" s="1"/>
  <c r="X30" i="21"/>
  <c r="Z30" s="1"/>
  <c r="X14" i="17"/>
  <c r="Z14" s="1"/>
  <c r="Y38" i="19"/>
  <c r="X14" i="23"/>
  <c r="Z14" s="1"/>
  <c r="X20" i="20"/>
  <c r="Z20" s="1"/>
  <c r="Y31" i="16"/>
  <c r="Y37" i="23"/>
  <c r="X40"/>
  <c r="Z40" s="1"/>
  <c r="X72" i="22"/>
  <c r="Z72" s="1"/>
  <c r="X68"/>
  <c r="Z68" s="1"/>
  <c r="Y58" i="1"/>
  <c r="Y46" i="17"/>
  <c r="Y19" i="23"/>
  <c r="Y65" i="16"/>
  <c r="X67" i="20"/>
  <c r="Z67" s="1"/>
  <c r="Y58" i="23"/>
  <c r="Y30" i="16"/>
  <c r="X13" i="23"/>
  <c r="Z13" s="1"/>
  <c r="X49"/>
  <c r="Z49" s="1"/>
  <c r="X31"/>
  <c r="Z31" s="1"/>
  <c r="Y57" i="16"/>
  <c r="X56"/>
  <c r="Z56" s="1"/>
  <c r="X57" i="17"/>
  <c r="Z57" s="1"/>
  <c r="Y63" i="21"/>
  <c r="X31" i="19"/>
  <c r="Z31" s="1"/>
  <c r="Y51" i="20"/>
  <c r="X22"/>
  <c r="Z22" s="1"/>
  <c r="X25" i="16"/>
  <c r="Z25" s="1"/>
  <c r="X22"/>
  <c r="Z22" s="1"/>
  <c r="Y69"/>
  <c r="X18" i="17"/>
  <c r="Z18" s="1"/>
  <c r="X62" i="23"/>
  <c r="Z62" s="1"/>
  <c r="X13" i="22"/>
  <c r="Z13" s="1"/>
  <c r="Y39" i="21"/>
  <c r="X57" i="20"/>
  <c r="Z57" s="1"/>
  <c r="X41"/>
  <c r="Z41" s="1"/>
  <c r="X63"/>
  <c r="Z63" s="1"/>
  <c r="X63" i="18"/>
  <c r="Z63" s="1"/>
  <c r="Y47" i="23"/>
  <c r="Y37" i="21"/>
  <c r="X12" i="16"/>
  <c r="Z12" s="1"/>
  <c r="Y39" i="18"/>
  <c r="Y71" i="21"/>
  <c r="X64" i="19"/>
  <c r="Z64" s="1"/>
  <c r="Y19" i="17"/>
  <c r="Y31" i="20"/>
  <c r="Y60" i="21"/>
  <c r="X56" i="17"/>
  <c r="Z56" s="1"/>
  <c r="X10" i="1"/>
  <c r="Z10" s="1"/>
  <c r="X11" i="19"/>
  <c r="Z11" s="1"/>
  <c r="X70" i="17"/>
  <c r="Z70" s="1"/>
  <c r="Y50" i="23"/>
  <c r="Y19" i="16"/>
  <c r="X65" i="21"/>
  <c r="Z65" s="1"/>
  <c r="Y48" i="23"/>
  <c r="Y18" i="21"/>
  <c r="Y22" i="22"/>
  <c r="Y33" i="16"/>
  <c r="Y27" i="22"/>
  <c r="Y69"/>
  <c r="Y39"/>
  <c r="Y15" i="21"/>
  <c r="Y56" i="20"/>
  <c r="Y46" i="18"/>
  <c r="Y68" i="16"/>
  <c r="X71" i="23"/>
  <c r="Z71" s="1"/>
  <c r="X26" i="18"/>
  <c r="Z26" s="1"/>
  <c r="X66" i="21"/>
  <c r="Z66" s="1"/>
  <c r="X37" i="20"/>
  <c r="Z37" s="1"/>
  <c r="Y22" i="21"/>
  <c r="Y54" i="20"/>
  <c r="X67" i="22"/>
  <c r="Z67" s="1"/>
  <c r="X64" i="21"/>
  <c r="Z64" s="1"/>
  <c r="X40" i="22"/>
  <c r="Z40" s="1"/>
  <c r="X43" i="21"/>
  <c r="Z43" s="1"/>
  <c r="Y56" i="19"/>
  <c r="X58" i="17"/>
  <c r="Z58" s="1"/>
  <c r="X21"/>
  <c r="Z21" s="1"/>
  <c r="Y32" i="16"/>
  <c r="X44"/>
  <c r="Z44" s="1"/>
  <c r="Y44"/>
  <c r="X25" i="21"/>
  <c r="Z25" s="1"/>
  <c r="Y25"/>
  <c r="X41" i="17"/>
  <c r="Z41" s="1"/>
  <c r="Y41"/>
  <c r="X69" i="21"/>
  <c r="Z69" s="1"/>
  <c r="Y69"/>
  <c r="Y64" i="18"/>
  <c r="X64"/>
  <c r="Z64" s="1"/>
  <c r="X38" i="23"/>
  <c r="Z38" s="1"/>
  <c r="Y38"/>
  <c r="X25"/>
  <c r="Z25" s="1"/>
  <c r="Y25"/>
  <c r="X49" i="18"/>
  <c r="Z49" s="1"/>
  <c r="Y49"/>
  <c r="X10"/>
  <c r="Y10"/>
  <c r="Y52" i="17"/>
  <c r="X52"/>
  <c r="Z52" s="1"/>
  <c r="X15" i="19"/>
  <c r="Z15" s="1"/>
  <c r="Y15"/>
  <c r="X23"/>
  <c r="Z23" s="1"/>
  <c r="Y23"/>
  <c r="X65" i="22"/>
  <c r="Z65" s="1"/>
  <c r="Y65"/>
  <c r="X35" i="18"/>
  <c r="Z35" s="1"/>
  <c r="Y35"/>
  <c r="X33" i="21"/>
  <c r="Z33" s="1"/>
  <c r="Y33"/>
  <c r="X53" i="20"/>
  <c r="Z53" s="1"/>
  <c r="Y53"/>
  <c r="Y67" i="23"/>
  <c r="X67"/>
  <c r="Z67" s="1"/>
  <c r="Y58" i="22"/>
  <c r="X58"/>
  <c r="Z58" s="1"/>
  <c r="Y43" i="19"/>
  <c r="X43"/>
  <c r="Z43" s="1"/>
  <c r="X18" i="18"/>
  <c r="Z18" s="1"/>
  <c r="Y18"/>
  <c r="X58"/>
  <c r="Z58" s="1"/>
  <c r="Y58"/>
  <c r="X37" i="19"/>
  <c r="Z37" s="1"/>
  <c r="Y37"/>
  <c r="X70" i="23"/>
  <c r="Z70" s="1"/>
  <c r="Y70"/>
  <c r="X48" i="19"/>
  <c r="Z48" s="1"/>
  <c r="Y48"/>
  <c r="X32"/>
  <c r="Z32" s="1"/>
  <c r="Y32"/>
  <c r="Y52" i="20"/>
  <c r="X52"/>
  <c r="Z52" s="1"/>
  <c r="X41" i="19"/>
  <c r="Z41" s="1"/>
  <c r="Y41"/>
  <c r="X54" i="16"/>
  <c r="Z54" s="1"/>
  <c r="Y54"/>
  <c r="Y23" i="23"/>
  <c r="X23"/>
  <c r="Z23" s="1"/>
  <c r="X68" i="17"/>
  <c r="Z68" s="1"/>
  <c r="Y68"/>
  <c r="X62"/>
  <c r="Z62" s="1"/>
  <c r="Y62"/>
  <c r="X51" i="21"/>
  <c r="Z51" s="1"/>
  <c r="Y51"/>
  <c r="X26" i="22"/>
  <c r="Z26" s="1"/>
  <c r="Y26"/>
  <c r="X48" i="16"/>
  <c r="Z48" s="1"/>
  <c r="Y48"/>
  <c r="X12" i="20"/>
  <c r="Z12" s="1"/>
  <c r="Y12"/>
  <c r="Y70" i="22"/>
  <c r="X70"/>
  <c r="Z70" s="1"/>
  <c r="X70" i="16"/>
  <c r="Z70" s="1"/>
  <c r="Y70"/>
  <c r="X46" i="22"/>
  <c r="Z46" s="1"/>
  <c r="Y46"/>
  <c r="Y29" i="16"/>
  <c r="X29"/>
  <c r="Z29" s="1"/>
  <c r="X35" i="23"/>
  <c r="Z35" s="1"/>
  <c r="Y35"/>
  <c r="X69"/>
  <c r="Z69" s="1"/>
  <c r="Y69"/>
  <c r="X48" i="21"/>
  <c r="Z48" s="1"/>
  <c r="Y48"/>
  <c r="X60" i="22"/>
  <c r="Z60" s="1"/>
  <c r="Y60"/>
  <c r="X62" i="20"/>
  <c r="Z62" s="1"/>
  <c r="Y62"/>
  <c r="Y32"/>
  <c r="X32"/>
  <c r="Z32" s="1"/>
  <c r="X47" i="17"/>
  <c r="Z47" s="1"/>
  <c r="Y47"/>
  <c r="X14" i="22"/>
  <c r="Z14" s="1"/>
  <c r="Y14"/>
  <c r="X60" i="18"/>
  <c r="Z60" s="1"/>
  <c r="Y60"/>
  <c r="Y20" i="19"/>
  <c r="X20"/>
  <c r="Z20" s="1"/>
  <c r="Y66" i="22"/>
  <c r="X66"/>
  <c r="Z66" s="1"/>
  <c r="X59" i="21"/>
  <c r="Z59" s="1"/>
  <c r="Y59"/>
  <c r="X52"/>
  <c r="Z52" s="1"/>
  <c r="Y52"/>
  <c r="Y33" i="19"/>
  <c r="X33"/>
  <c r="Z33" s="1"/>
  <c r="X33" i="23"/>
  <c r="Z33" s="1"/>
  <c r="Y33"/>
  <c r="X44" i="22"/>
  <c r="Z44" s="1"/>
  <c r="Y44"/>
  <c r="X16" i="20"/>
  <c r="Z16" s="1"/>
  <c r="Y16"/>
  <c r="X60"/>
  <c r="Z60" s="1"/>
  <c r="Y60"/>
  <c r="Y40" i="19"/>
  <c r="X40"/>
  <c r="Z40" s="1"/>
  <c r="Y28" i="18"/>
  <c r="X28"/>
  <c r="Z28" s="1"/>
  <c r="X29" i="22"/>
  <c r="Z29" s="1"/>
  <c r="Y29"/>
  <c r="X62" i="18"/>
  <c r="Z62" s="1"/>
  <c r="Y62"/>
  <c r="X72" i="17"/>
  <c r="Z72" s="1"/>
  <c r="Y72"/>
  <c r="X13" i="19"/>
  <c r="Z13" s="1"/>
  <c r="Y13"/>
  <c r="Y21" i="20"/>
  <c r="X21"/>
  <c r="Z21" s="1"/>
  <c r="X71" i="22"/>
  <c r="Z71" s="1"/>
  <c r="Y71"/>
  <c r="Y69" i="17"/>
  <c r="X69"/>
  <c r="Z69" s="1"/>
  <c r="X29" i="21"/>
  <c r="Z29" s="1"/>
  <c r="Y29"/>
  <c r="Y39" i="20"/>
  <c r="X39"/>
  <c r="Z39" s="1"/>
  <c r="Y59"/>
  <c r="X59"/>
  <c r="Z59" s="1"/>
  <c r="Y32" i="23"/>
  <c r="X32"/>
  <c r="Z32" s="1"/>
  <c r="X27" i="18"/>
  <c r="Z27" s="1"/>
  <c r="Y27"/>
  <c r="X28" i="19"/>
  <c r="Z28" s="1"/>
  <c r="Y28"/>
  <c r="X29" i="17"/>
  <c r="Z29" s="1"/>
  <c r="Y29"/>
  <c r="X72" i="23"/>
  <c r="Z72" s="1"/>
  <c r="Y72"/>
  <c r="X31" i="22"/>
  <c r="Z31" s="1"/>
  <c r="Y31"/>
  <c r="Y17" i="17"/>
  <c r="X17"/>
  <c r="Z17" s="1"/>
  <c r="X44"/>
  <c r="Z44" s="1"/>
  <c r="Y44"/>
  <c r="X19" i="18"/>
  <c r="Z19" s="1"/>
  <c r="Y19"/>
  <c r="X50" i="21"/>
  <c r="Z50" s="1"/>
  <c r="Y50"/>
  <c r="X16"/>
  <c r="Z16" s="1"/>
  <c r="Y16"/>
  <c r="Y17" i="20"/>
  <c r="X17"/>
  <c r="Z17" s="1"/>
  <c r="X53" i="21"/>
  <c r="Z53" s="1"/>
  <c r="Y53"/>
  <c r="Y25" i="17"/>
  <c r="X25"/>
  <c r="Z25" s="1"/>
  <c r="X48"/>
  <c r="Z48" s="1"/>
  <c r="Y48"/>
  <c r="X26" i="16"/>
  <c r="Z26" s="1"/>
  <c r="Y26"/>
  <c r="X32" i="18"/>
  <c r="Z32" s="1"/>
  <c r="Y32"/>
  <c r="Y68" i="20"/>
  <c r="X68"/>
  <c r="Z68" s="1"/>
  <c r="X67" i="18"/>
  <c r="Z67" s="1"/>
  <c r="Y67"/>
  <c r="Y62" i="22"/>
  <c r="X62"/>
  <c r="Z62" s="1"/>
  <c r="X17"/>
  <c r="Z17" s="1"/>
  <c r="Y17"/>
  <c r="X27" i="20"/>
  <c r="Z27" s="1"/>
  <c r="Y27"/>
  <c r="X68" i="18"/>
  <c r="Z68" s="1"/>
  <c r="Y68"/>
  <c r="Y36" i="19"/>
  <c r="X36"/>
  <c r="Z36" s="1"/>
  <c r="X57"/>
  <c r="Z57" s="1"/>
  <c r="Y57"/>
  <c r="Y61" i="20"/>
  <c r="X61"/>
  <c r="Z61" s="1"/>
  <c r="X33"/>
  <c r="Z33" s="1"/>
  <c r="Y33"/>
  <c r="X21" i="22"/>
  <c r="Z21" s="1"/>
  <c r="Y21"/>
  <c r="Y22" i="19"/>
  <c r="X22"/>
  <c r="Z22" s="1"/>
  <c r="X72" i="20"/>
  <c r="Z72" s="1"/>
  <c r="Y72"/>
  <c r="X53" i="23"/>
  <c r="Z53" s="1"/>
  <c r="Y53"/>
  <c r="Y54" i="18"/>
  <c r="X54"/>
  <c r="Z54" s="1"/>
  <c r="X21"/>
  <c r="Z21" s="1"/>
  <c r="Y21"/>
  <c r="Y45" i="19"/>
  <c r="X45"/>
  <c r="Z45" s="1"/>
  <c r="Y41" i="22"/>
  <c r="X41"/>
  <c r="Z41" s="1"/>
  <c r="X56" i="23"/>
  <c r="Z56" s="1"/>
  <c r="Y56"/>
  <c r="X43"/>
  <c r="Z43" s="1"/>
  <c r="Y43"/>
  <c r="X25" i="18"/>
  <c r="Z25" s="1"/>
  <c r="Y25"/>
  <c r="X17" i="21"/>
  <c r="Z17" s="1"/>
  <c r="Y17"/>
  <c r="X19" i="22"/>
  <c r="Z19" s="1"/>
  <c r="Y19"/>
  <c r="X53" i="17"/>
  <c r="Z53" s="1"/>
  <c r="Y53"/>
  <c r="X33" i="18"/>
  <c r="Z33" s="1"/>
  <c r="Y33"/>
  <c r="X56"/>
  <c r="Z56" s="1"/>
  <c r="Y56"/>
  <c r="X25" i="20"/>
  <c r="Z25" s="1"/>
  <c r="Y25"/>
  <c r="X44" i="21"/>
  <c r="Z44" s="1"/>
  <c r="Y44"/>
  <c r="X10" i="22"/>
  <c r="Y10"/>
  <c r="Y54" i="23"/>
  <c r="X54"/>
  <c r="Z54" s="1"/>
  <c r="X22" i="17"/>
  <c r="Z22" s="1"/>
  <c r="Y22"/>
  <c r="X10" i="23"/>
  <c r="Y10"/>
  <c r="X31" i="21"/>
  <c r="Z31" s="1"/>
  <c r="Y31"/>
  <c r="X40" i="18"/>
  <c r="Z40" s="1"/>
  <c r="Y40"/>
  <c r="X48"/>
  <c r="Z48" s="1"/>
  <c r="Y48"/>
  <c r="X43" i="20"/>
  <c r="Z43" s="1"/>
  <c r="Y43"/>
  <c r="X30" i="17"/>
  <c r="Z30" s="1"/>
  <c r="Y30"/>
  <c r="X37"/>
  <c r="Z37" s="1"/>
  <c r="Y37"/>
  <c r="X38" i="21"/>
  <c r="Z38" s="1"/>
  <c r="Y38"/>
  <c r="Y46" i="23"/>
  <c r="X46"/>
  <c r="Z46" s="1"/>
  <c r="X44" i="19"/>
  <c r="Z44" s="1"/>
  <c r="Y44"/>
  <c r="X59" i="17"/>
  <c r="Z59" s="1"/>
  <c r="Y59"/>
  <c r="X38"/>
  <c r="Z38" s="1"/>
  <c r="Y38"/>
  <c r="X28"/>
  <c r="Z28" s="1"/>
  <c r="Y28"/>
  <c r="X29" i="23"/>
  <c r="Z29" s="1"/>
  <c r="Y29"/>
  <c r="Y30" i="20"/>
  <c r="X30"/>
  <c r="Z30" s="1"/>
  <c r="X13" i="21"/>
  <c r="Z13" s="1"/>
  <c r="Y13"/>
  <c r="X11"/>
  <c r="Z11" s="1"/>
  <c r="Y11"/>
  <c r="X45" i="17"/>
  <c r="Z45" s="1"/>
  <c r="Y45"/>
  <c r="X33" i="22"/>
  <c r="Z33" s="1"/>
  <c r="Y33"/>
  <c r="X36" i="23"/>
  <c r="Z36" s="1"/>
  <c r="Y36"/>
  <c r="X35" i="19"/>
  <c r="Z35" s="1"/>
  <c r="Y35"/>
  <c r="X39" i="23"/>
  <c r="Z39" s="1"/>
  <c r="Y39"/>
  <c r="X54" i="21"/>
  <c r="Z54" s="1"/>
  <c r="Y54"/>
  <c r="X64" i="17"/>
  <c r="Z64" s="1"/>
  <c r="Y64"/>
  <c r="Y53" i="22"/>
  <c r="X53"/>
  <c r="Z53" s="1"/>
  <c r="X64" i="23"/>
  <c r="Z64" s="1"/>
  <c r="Y64"/>
  <c r="Y25" i="19"/>
  <c r="X25"/>
  <c r="Z25" s="1"/>
  <c r="Y43" i="17"/>
  <c r="X43"/>
  <c r="Z43" s="1"/>
  <c r="Y19" i="20"/>
  <c r="X19"/>
  <c r="Z19" s="1"/>
  <c r="X43" i="18"/>
  <c r="Z43" s="1"/>
  <c r="Y43"/>
  <c r="X51"/>
  <c r="Z51" s="1"/>
  <c r="Y51"/>
  <c r="Y50" i="17"/>
  <c r="X50"/>
  <c r="Z50" s="1"/>
  <c r="X71" i="19"/>
  <c r="Z71" s="1"/>
  <c r="Y71"/>
  <c r="X46"/>
  <c r="Z46" s="1"/>
  <c r="Y46"/>
  <c r="Y51"/>
  <c r="X51"/>
  <c r="Z51" s="1"/>
  <c r="X30"/>
  <c r="Z30" s="1"/>
  <c r="Y30"/>
  <c r="X27" i="23"/>
  <c r="Z27" s="1"/>
  <c r="Y27"/>
  <c r="X64" i="22"/>
  <c r="Z64" s="1"/>
  <c r="Y64"/>
  <c r="X53" i="18"/>
  <c r="Z53" s="1"/>
  <c r="Y53"/>
  <c r="Y30"/>
  <c r="X30"/>
  <c r="Z30" s="1"/>
  <c r="Y13" i="20"/>
  <c r="X13"/>
  <c r="Z13" s="1"/>
  <c r="X54" i="19"/>
  <c r="Z54" s="1"/>
  <c r="Y54"/>
  <c r="X52" i="18"/>
  <c r="Z52" s="1"/>
  <c r="Y52"/>
  <c r="Y27" i="19"/>
  <c r="X27"/>
  <c r="Z27" s="1"/>
  <c r="X65"/>
  <c r="Z65" s="1"/>
  <c r="Y65"/>
  <c r="X56" i="21"/>
  <c r="Z56" s="1"/>
  <c r="Y56"/>
  <c r="X31" i="18"/>
  <c r="Z31" s="1"/>
  <c r="Y31"/>
  <c r="Y60" i="19"/>
  <c r="X60"/>
  <c r="Z60" s="1"/>
  <c r="X36" i="20"/>
  <c r="Z36" s="1"/>
  <c r="Y36"/>
  <c r="X21" i="21"/>
  <c r="Z21" s="1"/>
  <c r="Y21"/>
  <c r="X15" i="16"/>
  <c r="Z15" s="1"/>
  <c r="Y15"/>
  <c r="X20" i="23"/>
  <c r="Z20" s="1"/>
  <c r="Y20"/>
  <c r="X61" i="21"/>
  <c r="Z61" s="1"/>
  <c r="Y61"/>
  <c r="X46"/>
  <c r="Z46" s="1"/>
  <c r="Y46"/>
  <c r="X66" i="20"/>
  <c r="Z66" s="1"/>
  <c r="Y66"/>
  <c r="X44" i="18"/>
  <c r="Z44" s="1"/>
  <c r="Y44"/>
  <c r="Y10" i="19"/>
  <c r="X10"/>
  <c r="X25" i="22"/>
  <c r="Z25" s="1"/>
  <c r="Y25"/>
  <c r="X65" i="23"/>
  <c r="Z65" s="1"/>
  <c r="Y65"/>
  <c r="X20" i="17"/>
  <c r="Z20" s="1"/>
  <c r="Y20"/>
  <c r="X49" i="20"/>
  <c r="Z49" s="1"/>
  <c r="Y49"/>
  <c r="X18" i="23"/>
  <c r="Z18" s="1"/>
  <c r="Y18"/>
  <c r="X61" i="22"/>
  <c r="Z61" s="1"/>
  <c r="Y61"/>
  <c r="X32"/>
  <c r="Z32" s="1"/>
  <c r="Y32"/>
  <c r="Y38" i="18"/>
  <c r="X38"/>
  <c r="Z38" s="1"/>
  <c r="Y15" i="20"/>
  <c r="X15"/>
  <c r="Z15" s="1"/>
  <c r="X15" i="22"/>
  <c r="Z15" s="1"/>
  <c r="Y15"/>
  <c r="X45" i="21"/>
  <c r="Z45" s="1"/>
  <c r="Y45"/>
  <c r="X52" i="23"/>
  <c r="Z52" s="1"/>
  <c r="Y52"/>
  <c r="X45"/>
  <c r="Z45" s="1"/>
  <c r="Y45"/>
  <c r="X63" i="22"/>
  <c r="Z63" s="1"/>
  <c r="Y63"/>
  <c r="X54" i="17"/>
  <c r="Z54" s="1"/>
  <c r="Y54"/>
  <c r="X50" i="18"/>
  <c r="Z50" s="1"/>
  <c r="Y50"/>
  <c r="X50" i="22"/>
  <c r="Z50" s="1"/>
  <c r="Y50"/>
  <c r="Y32" i="17"/>
  <c r="X32"/>
  <c r="Z32" s="1"/>
  <c r="X29" i="18"/>
  <c r="Z29" s="1"/>
  <c r="Y29"/>
  <c r="X19" i="19"/>
  <c r="Z19" s="1"/>
  <c r="Y19"/>
  <c r="X49" i="21"/>
  <c r="Z49" s="1"/>
  <c r="Y49"/>
  <c r="X10" i="17"/>
  <c r="Y10"/>
  <c r="X22" i="18"/>
  <c r="Z22" s="1"/>
  <c r="Y22"/>
  <c r="Y13"/>
  <c r="X13"/>
  <c r="Z13" s="1"/>
  <c r="X50" i="19"/>
  <c r="Z50" s="1"/>
  <c r="Y50"/>
  <c r="X41" i="21"/>
  <c r="Z41" s="1"/>
  <c r="Y41"/>
  <c r="X67"/>
  <c r="Z67" s="1"/>
  <c r="Y67"/>
  <c r="Y49" i="22"/>
  <c r="X49"/>
  <c r="Z49" s="1"/>
  <c r="X51" i="23"/>
  <c r="Z51" s="1"/>
  <c r="Y51"/>
  <c r="X60"/>
  <c r="Z60" s="1"/>
  <c r="Y60"/>
  <c r="Y45" i="22"/>
  <c r="X45"/>
  <c r="Z45" s="1"/>
  <c r="X47" i="21"/>
  <c r="Z47" s="1"/>
  <c r="Y47"/>
  <c r="X19"/>
  <c r="Z19" s="1"/>
  <c r="Y19"/>
  <c r="X15" i="18"/>
  <c r="Z15" s="1"/>
  <c r="Y15"/>
  <c r="X10" i="20"/>
  <c r="Y10"/>
  <c r="X71" i="17"/>
  <c r="Z71" s="1"/>
  <c r="Y71"/>
  <c r="Y14" i="19"/>
  <c r="X14"/>
  <c r="Z14" s="1"/>
  <c r="X59" i="16"/>
  <c r="Z59" s="1"/>
  <c r="Y59"/>
  <c r="X10" i="21"/>
  <c r="Y10"/>
  <c r="X52" i="16"/>
  <c r="Z52" s="1"/>
  <c r="Y52"/>
  <c r="X27" i="17"/>
  <c r="Z27" s="1"/>
  <c r="Y27"/>
  <c r="X23"/>
  <c r="Z23" s="1"/>
  <c r="Y23"/>
  <c r="Y71" i="18"/>
  <c r="X71"/>
  <c r="Z71" s="1"/>
  <c r="X51" i="22"/>
  <c r="Z51" s="1"/>
  <c r="Y51"/>
  <c r="X54"/>
  <c r="Z54" s="1"/>
  <c r="Y54"/>
  <c r="X47"/>
  <c r="Z47" s="1"/>
  <c r="Y47"/>
  <c r="Y60" i="17"/>
  <c r="X60"/>
  <c r="Z60" s="1"/>
  <c r="Y23" i="20"/>
  <c r="X23"/>
  <c r="Z23" s="1"/>
  <c r="X10" i="16"/>
  <c r="Y10"/>
  <c r="Y58" i="19"/>
  <c r="X58"/>
  <c r="Z58" s="1"/>
  <c r="X63" i="17"/>
  <c r="Z63" s="1"/>
  <c r="Y63"/>
  <c r="X66" i="18"/>
  <c r="Z66" s="1"/>
  <c r="Y66"/>
  <c r="X20" i="22"/>
  <c r="Z20" s="1"/>
  <c r="Y20"/>
  <c r="Y50" i="20"/>
  <c r="X50"/>
  <c r="Z50" s="1"/>
  <c r="X18" i="16"/>
  <c r="Z18" s="1"/>
  <c r="Y18"/>
  <c r="X17" i="23"/>
  <c r="Z17" s="1"/>
  <c r="Y17"/>
  <c r="X36" i="17"/>
  <c r="Z36" s="1"/>
  <c r="Y36"/>
  <c r="X26" i="19"/>
  <c r="Z26" s="1"/>
  <c r="Y26"/>
  <c r="Y29"/>
  <c r="X29"/>
  <c r="Z29" s="1"/>
  <c r="Y48" i="20"/>
  <c r="X48"/>
  <c r="Z48" s="1"/>
  <c r="X59" i="18"/>
  <c r="Z59" s="1"/>
  <c r="Y59"/>
  <c r="X33" i="17"/>
  <c r="Z33" s="1"/>
  <c r="Y33"/>
  <c r="X68" i="23"/>
  <c r="Z68" s="1"/>
  <c r="Y68"/>
  <c r="X23" i="21"/>
  <c r="Z23" s="1"/>
  <c r="Y23"/>
  <c r="X28"/>
  <c r="Z28" s="1"/>
  <c r="Y28"/>
  <c r="Y67" i="17"/>
  <c r="X67"/>
  <c r="Z67" s="1"/>
  <c r="X51"/>
  <c r="Z51" s="1"/>
  <c r="Y51"/>
  <c r="X16" i="22"/>
  <c r="Z16" s="1"/>
  <c r="Y16"/>
  <c r="Y62" i="19"/>
  <c r="X62"/>
  <c r="Z62" s="1"/>
  <c r="X26" i="21"/>
  <c r="Z26" s="1"/>
  <c r="Y26"/>
  <c r="X17" i="19"/>
  <c r="Z17" s="1"/>
  <c r="Y17"/>
  <c r="Y53"/>
  <c r="X53"/>
  <c r="Z53" s="1"/>
  <c r="Y35" i="17"/>
  <c r="X35"/>
  <c r="Z35" s="1"/>
  <c r="X49"/>
  <c r="Z49" s="1"/>
  <c r="Y49"/>
  <c r="X43" i="22"/>
  <c r="Z43" s="1"/>
  <c r="Y43"/>
  <c r="X27" i="21"/>
  <c r="Z27" s="1"/>
  <c r="Y27"/>
  <c r="X52" i="19"/>
  <c r="Z52" s="1"/>
  <c r="Y52"/>
  <c r="Y49"/>
  <c r="X49"/>
  <c r="Z49" s="1"/>
  <c r="Y63" i="23"/>
  <c r="X63"/>
  <c r="Z63" s="1"/>
  <c r="X12" i="18"/>
  <c r="Z12" s="1"/>
  <c r="Y12"/>
  <c r="X21" i="19"/>
  <c r="Z21" s="1"/>
  <c r="Y21"/>
  <c r="X56" i="22"/>
  <c r="Z56" s="1"/>
  <c r="Y56"/>
  <c r="X14" i="20"/>
  <c r="Z14" s="1"/>
  <c r="Y14"/>
  <c r="X45"/>
  <c r="Z45" s="1"/>
  <c r="Y45"/>
  <c r="X20" i="16"/>
  <c r="Z20" s="1"/>
  <c r="Y20"/>
  <c r="X26" i="23"/>
  <c r="Z26" s="1"/>
  <c r="Y26"/>
  <c r="Y59"/>
  <c r="X59"/>
  <c r="Z59" s="1"/>
  <c r="V78" i="16"/>
  <c r="V75" s="1"/>
  <c r="X50" i="1"/>
  <c r="Z50" s="1"/>
  <c r="Y50"/>
  <c r="X35"/>
  <c r="Z35" s="1"/>
  <c r="Y35"/>
  <c r="X57"/>
  <c r="Z57" s="1"/>
  <c r="Y57"/>
  <c r="X56"/>
  <c r="Z56" s="1"/>
  <c r="Y56"/>
  <c r="X44"/>
  <c r="Z44" s="1"/>
  <c r="Y44"/>
  <c r="X53"/>
  <c r="Z53" s="1"/>
  <c r="Y53"/>
  <c r="X16"/>
  <c r="Z16" s="1"/>
  <c r="Y16"/>
  <c r="X52"/>
  <c r="Z52" s="1"/>
  <c r="Y52"/>
  <c r="X46"/>
  <c r="Z46" s="1"/>
  <c r="Y46"/>
  <c r="X61"/>
  <c r="Z61" s="1"/>
  <c r="Y61"/>
  <c r="X25"/>
  <c r="Z25" s="1"/>
  <c r="Y25"/>
  <c r="X54"/>
  <c r="Z54" s="1"/>
  <c r="Y54"/>
  <c r="X45"/>
  <c r="Z45" s="1"/>
  <c r="Y45"/>
  <c r="X38"/>
  <c r="Z38" s="1"/>
  <c r="Y38"/>
  <c r="X36"/>
  <c r="Z36" s="1"/>
  <c r="Y36"/>
  <c r="X26"/>
  <c r="Z26" s="1"/>
  <c r="Y26"/>
  <c r="X29"/>
  <c r="Z29" s="1"/>
  <c r="Y29"/>
  <c r="X40"/>
  <c r="Z40" s="1"/>
  <c r="Y40"/>
  <c r="X41"/>
  <c r="Z41" s="1"/>
  <c r="Y41"/>
  <c r="X48"/>
  <c r="Z48" s="1"/>
  <c r="Y48"/>
  <c r="X30"/>
  <c r="Z30" s="1"/>
  <c r="Y30"/>
  <c r="X70"/>
  <c r="Z70" s="1"/>
  <c r="Y70"/>
  <c r="X21"/>
  <c r="Z21" s="1"/>
  <c r="Y21"/>
  <c r="X39"/>
  <c r="Z39" s="1"/>
  <c r="Y39"/>
  <c r="X14"/>
  <c r="Z14" s="1"/>
  <c r="Y14"/>
  <c r="X64"/>
  <c r="Z64" s="1"/>
  <c r="Y64"/>
  <c r="X47"/>
  <c r="Z47" s="1"/>
  <c r="Y47"/>
  <c r="X22"/>
  <c r="Z22" s="1"/>
  <c r="Y22"/>
  <c r="X51"/>
  <c r="Z51" s="1"/>
  <c r="Y51"/>
  <c r="X62"/>
  <c r="Z62" s="1"/>
  <c r="Y62"/>
  <c r="X12"/>
  <c r="Z12" s="1"/>
  <c r="Y12"/>
  <c r="X11"/>
  <c r="Z11" s="1"/>
  <c r="Y11"/>
  <c r="X37"/>
  <c r="Z37" s="1"/>
  <c r="Y37"/>
  <c r="X28"/>
  <c r="Z28" s="1"/>
  <c r="Y28"/>
  <c r="X33"/>
  <c r="Z33" s="1"/>
  <c r="Y33"/>
  <c r="X72"/>
  <c r="Z72" s="1"/>
  <c r="Y72"/>
  <c r="X31"/>
  <c r="Z31" s="1"/>
  <c r="Y31"/>
  <c r="X23"/>
  <c r="Z23" s="1"/>
  <c r="Y23"/>
  <c r="X67"/>
  <c r="Z67" s="1"/>
  <c r="Y67"/>
  <c r="X20"/>
  <c r="Z20" s="1"/>
  <c r="Y20"/>
  <c r="X43"/>
  <c r="Z43" s="1"/>
  <c r="Y43"/>
  <c r="X13"/>
  <c r="Z13" s="1"/>
  <c r="Y13"/>
  <c r="X71"/>
  <c r="Z71" s="1"/>
  <c r="Y71"/>
  <c r="X27"/>
  <c r="Z27" s="1"/>
  <c r="Y27"/>
  <c r="X65"/>
  <c r="Z65" s="1"/>
  <c r="Y65"/>
  <c r="X17"/>
  <c r="Z17" s="1"/>
  <c r="Y17"/>
  <c r="X66"/>
  <c r="Z66" s="1"/>
  <c r="Y66"/>
  <c r="X32"/>
  <c r="Z32" s="1"/>
  <c r="Y32"/>
  <c r="X60"/>
  <c r="Z60" s="1"/>
  <c r="Y60"/>
  <c r="X15"/>
  <c r="Z15" s="1"/>
  <c r="Y15"/>
  <c r="X18"/>
  <c r="Z18" s="1"/>
  <c r="Y18"/>
  <c r="X69"/>
  <c r="Z69" s="1"/>
  <c r="Y69"/>
  <c r="V78" i="20"/>
  <c r="V75" s="1"/>
  <c r="V78" i="23"/>
  <c r="V75" s="1"/>
  <c r="V78" i="22"/>
  <c r="V75" s="1"/>
  <c r="V78" i="19"/>
  <c r="V75" s="1"/>
  <c r="V78" i="21"/>
  <c r="V75" s="1"/>
  <c r="V78" i="17"/>
  <c r="V75" s="1"/>
  <c r="V78" i="18"/>
  <c r="V75" s="1"/>
  <c r="V78" i="1"/>
  <c r="V75" s="1"/>
  <c r="Z10" i="21" l="1"/>
  <c r="X81"/>
  <c r="Z10" i="20"/>
  <c r="Z78" s="1"/>
  <c r="X81"/>
  <c r="Z10" i="22"/>
  <c r="Z78" s="1"/>
  <c r="X81"/>
  <c r="Z10" i="18"/>
  <c r="X81"/>
  <c r="Z10" i="17"/>
  <c r="Z78" s="1"/>
  <c r="X81"/>
  <c r="Z10" i="23"/>
  <c r="Z78" s="1"/>
  <c r="X81"/>
  <c r="Z10" i="19"/>
  <c r="Z78" s="1"/>
  <c r="X81"/>
  <c r="X78" i="1"/>
  <c r="X75" s="1"/>
  <c r="X78" i="16"/>
  <c r="X75" s="1"/>
  <c r="Z10"/>
  <c r="Z78" s="1"/>
  <c r="X81"/>
  <c r="Z78" i="21"/>
  <c r="Z78" i="18"/>
  <c r="X78" i="17"/>
  <c r="X75" s="1"/>
  <c r="X78" i="23"/>
  <c r="X75" s="1"/>
  <c r="Y78" i="19"/>
  <c r="X78"/>
  <c r="X75" s="1"/>
  <c r="Y78" i="17"/>
  <c r="Y78" i="23"/>
  <c r="X78" i="21"/>
  <c r="X75" s="1"/>
  <c r="X78" i="20"/>
  <c r="X75" s="1"/>
  <c r="X78" i="22"/>
  <c r="X75" s="1"/>
  <c r="X78" i="18"/>
  <c r="X75" s="1"/>
  <c r="Y78" i="16"/>
  <c r="Y75" s="1"/>
  <c r="Y78" i="21"/>
  <c r="Y78" i="20"/>
  <c r="Y78" i="22"/>
  <c r="Y78" i="18"/>
  <c r="Y78" i="1"/>
  <c r="Y75" s="1"/>
  <c r="Z78"/>
  <c r="B85" l="1"/>
  <c r="F85"/>
  <c r="I85"/>
  <c r="G85"/>
  <c r="H85"/>
  <c r="H88" s="1"/>
  <c r="E85"/>
  <c r="J85"/>
  <c r="D85"/>
  <c r="K85"/>
  <c r="K88" s="1"/>
  <c r="Z75" i="21"/>
  <c r="Z75" i="17"/>
  <c r="Z75" i="20"/>
  <c r="Z75" i="23"/>
  <c r="Z75" i="22"/>
  <c r="Z75" i="16"/>
  <c r="Z75" i="18"/>
  <c r="Z75" i="19"/>
  <c r="Z75" i="1"/>
  <c r="E88" l="1"/>
  <c r="J88"/>
  <c r="D88"/>
  <c r="F88"/>
  <c r="I88"/>
  <c r="G88"/>
</calcChain>
</file>

<file path=xl/sharedStrings.xml><?xml version="1.0" encoding="utf-8"?>
<sst xmlns="http://schemas.openxmlformats.org/spreadsheetml/2006/main" count="2268" uniqueCount="180">
  <si>
    <t>MU</t>
  </si>
  <si>
    <t>KL</t>
  </si>
  <si>
    <t>IN</t>
  </si>
  <si>
    <t>CH</t>
  </si>
  <si>
    <t>FF</t>
  </si>
  <si>
    <t>GE</t>
  </si>
  <si>
    <t>KO</t>
  </si>
  <si>
    <t>KK</t>
  </si>
  <si>
    <t>Konvention 1</t>
  </si>
  <si>
    <t>MU/IN/GE</t>
  </si>
  <si>
    <t>Fliegen</t>
  </si>
  <si>
    <t>Gaukeleien</t>
  </si>
  <si>
    <t>Klettern</t>
  </si>
  <si>
    <t>Körperbeherrschung</t>
  </si>
  <si>
    <t>Kraftakt</t>
  </si>
  <si>
    <t>Reiten</t>
  </si>
  <si>
    <t>Schwimmen</t>
  </si>
  <si>
    <t>Selbstbeherrschung</t>
  </si>
  <si>
    <t>Singen</t>
  </si>
  <si>
    <t>Sinnesschärfe</t>
  </si>
  <si>
    <t>Tanzen</t>
  </si>
  <si>
    <t>Taschendiebstahl</t>
  </si>
  <si>
    <t>Verbergen</t>
  </si>
  <si>
    <t>Zechen</t>
  </si>
  <si>
    <t>Bekehren &amp; Überzeugen</t>
  </si>
  <si>
    <t>Betören</t>
  </si>
  <si>
    <t>Einschüchtern</t>
  </si>
  <si>
    <t>Etikette</t>
  </si>
  <si>
    <t>Gassenwissen</t>
  </si>
  <si>
    <t>Menschenkenntnis</t>
  </si>
  <si>
    <t>Überreden</t>
  </si>
  <si>
    <t>Verkleiden</t>
  </si>
  <si>
    <t>Fährtensuchen</t>
  </si>
  <si>
    <t>Fesseln</t>
  </si>
  <si>
    <t>Fischen &amp; Angeln</t>
  </si>
  <si>
    <t>Orientierung</t>
  </si>
  <si>
    <t>Tierkunde</t>
  </si>
  <si>
    <t>Wildnisleben</t>
  </si>
  <si>
    <t>Willenskraft</t>
  </si>
  <si>
    <t>Brett- &amp; Glücksspiel</t>
  </si>
  <si>
    <t>Geographie</t>
  </si>
  <si>
    <t>Geschichtswissen</t>
  </si>
  <si>
    <t>Götter &amp; Kulte</t>
  </si>
  <si>
    <t>Kriegskunst</t>
  </si>
  <si>
    <t>Magiekunde</t>
  </si>
  <si>
    <t>Mechanik</t>
  </si>
  <si>
    <t>Rechnen</t>
  </si>
  <si>
    <t>Rechtskunde</t>
  </si>
  <si>
    <t>Sagen &amp; Legenden</t>
  </si>
  <si>
    <t>Sphärenkunde</t>
  </si>
  <si>
    <t>Sternkunde</t>
  </si>
  <si>
    <t>Alchimie</t>
  </si>
  <si>
    <t>Fahrzeuge</t>
  </si>
  <si>
    <t>Handel</t>
  </si>
  <si>
    <t>Heilkunde Krankheiten</t>
  </si>
  <si>
    <t>Heilkunde Seele</t>
  </si>
  <si>
    <t>Heilkunde Wunden</t>
  </si>
  <si>
    <t>Holzbearbeitung</t>
  </si>
  <si>
    <t>Lebensmittelbearbeitung</t>
  </si>
  <si>
    <t>Lederbearbeitung</t>
  </si>
  <si>
    <t>Malen &amp; Zeichnen</t>
  </si>
  <si>
    <t>Metallbearbeitung</t>
  </si>
  <si>
    <t>Musizieren</t>
  </si>
  <si>
    <t>Schlösserknacken</t>
  </si>
  <si>
    <t>Steinbearbeitung</t>
  </si>
  <si>
    <t>Heilkunde Gift</t>
  </si>
  <si>
    <t>Stoffbearbeitung</t>
  </si>
  <si>
    <t>Boote &amp; Schiffe</t>
  </si>
  <si>
    <t>Pflanzenkunde</t>
  </si>
  <si>
    <t>Körpertalente</t>
  </si>
  <si>
    <t>Gesellschafftstalente</t>
  </si>
  <si>
    <t>Naturtalente</t>
  </si>
  <si>
    <t>Wissenstalente</t>
  </si>
  <si>
    <t>Handwerkstalente</t>
  </si>
  <si>
    <t>MU/CH/FF</t>
  </si>
  <si>
    <t>MU/GE/KK</t>
  </si>
  <si>
    <t>GE/GE/KO</t>
  </si>
  <si>
    <t>KO/KK/KK</t>
  </si>
  <si>
    <t>CH/GE/KK</t>
  </si>
  <si>
    <t>GE/KO/KK</t>
  </si>
  <si>
    <t>MU/MU/KO</t>
  </si>
  <si>
    <t>KL/CH/KO</t>
  </si>
  <si>
    <t>KL/IN/IN</t>
  </si>
  <si>
    <t>KL/CH/GE</t>
  </si>
  <si>
    <t>MU/FF/GE</t>
  </si>
  <si>
    <t>KL/KO/KK</t>
  </si>
  <si>
    <t>MU/KL/CH</t>
  </si>
  <si>
    <t>MU/CH/CH</t>
  </si>
  <si>
    <t>MU/IN/CH</t>
  </si>
  <si>
    <t>KL/IN/CH</t>
  </si>
  <si>
    <t>IN/CH/GE</t>
  </si>
  <si>
    <t>KL/FF/KK</t>
  </si>
  <si>
    <t>FF/GE/KO</t>
  </si>
  <si>
    <t>KL/FF/KO</t>
  </si>
  <si>
    <t>MU/MU/CH</t>
  </si>
  <si>
    <t>MU/GE/KO</t>
  </si>
  <si>
    <t>KL/KL/IN</t>
  </si>
  <si>
    <t>MU/KL/IN</t>
  </si>
  <si>
    <t>KL/KL/FF</t>
  </si>
  <si>
    <t>MU/KL/FF</t>
  </si>
  <si>
    <t>FF/GE/KK</t>
  </si>
  <si>
    <t>CH/FF/KO</t>
  </si>
  <si>
    <t>MU/IN/KO</t>
  </si>
  <si>
    <t>IN/CH/KO</t>
  </si>
  <si>
    <t>KL/FF/FF</t>
  </si>
  <si>
    <t>IN/FF/FF</t>
  </si>
  <si>
    <t>FF/KO/KK</t>
  </si>
  <si>
    <t>FF/FF/KK</t>
  </si>
  <si>
    <t>1 x Failen</t>
  </si>
  <si>
    <t>2 x Failen</t>
  </si>
  <si>
    <t>3 x Failen</t>
  </si>
  <si>
    <t>Av. 1 x Failen</t>
  </si>
  <si>
    <t>Av. 2 x Failen</t>
  </si>
  <si>
    <t>Av. 3 x Failen</t>
  </si>
  <si>
    <t>Av. Whs 1/2/3 mal zu Failen</t>
  </si>
  <si>
    <t>/</t>
  </si>
  <si>
    <t>GesamtWhs für Fail</t>
  </si>
  <si>
    <t>Av. Whs gesamt zu Failen</t>
  </si>
  <si>
    <t>zumindest 1 x Failen</t>
  </si>
  <si>
    <t>nötige Gesamtpunkte für nie mehr Failen</t>
  </si>
  <si>
    <t>Average</t>
  </si>
  <si>
    <t>Gesamt</t>
  </si>
  <si>
    <t>gewichtet + kombiniert</t>
  </si>
  <si>
    <t>Differenz</t>
  </si>
  <si>
    <t>Gesamt benötigte Punkte</t>
  </si>
  <si>
    <t>eingesetzte Punkte</t>
  </si>
  <si>
    <t>Gesamtpunkte um # Fails auszugleichen</t>
  </si>
  <si>
    <t>noch benötigte Punkte</t>
  </si>
  <si>
    <t>bereits geskilled</t>
  </si>
  <si>
    <t>um so viel aufstocken</t>
  </si>
  <si>
    <t>maximal fehlende Punkte pro Wurf</t>
  </si>
  <si>
    <t>bei 1 x Failen</t>
  </si>
  <si>
    <t>bei 2 x Failen</t>
  </si>
  <si>
    <t>bei 3 x Failen</t>
  </si>
  <si>
    <t>"verskilled" Punkte</t>
  </si>
  <si>
    <t>AP</t>
  </si>
  <si>
    <t>für Aufstocken</t>
  </si>
  <si>
    <t>AP benötigt</t>
  </si>
  <si>
    <t>B</t>
  </si>
  <si>
    <t>A</t>
  </si>
  <si>
    <t>D</t>
  </si>
  <si>
    <t>C</t>
  </si>
  <si>
    <t>benötigte AP</t>
  </si>
  <si>
    <t>"verskilled" AP</t>
  </si>
  <si>
    <t>"verskilled"</t>
  </si>
  <si>
    <t>Istwert Punkte</t>
  </si>
  <si>
    <t>benötigte AP für jeweiliges Attribut</t>
  </si>
  <si>
    <t>status quo AP</t>
  </si>
  <si>
    <t>benötigte AP bei Attribut +1 (Attributerhöhungskosten bereits inkl.)</t>
  </si>
  <si>
    <t>Unterschied der benötigten AP zu status quo (kleiner = Skillempfehlung)</t>
  </si>
  <si>
    <t>AP in Skills</t>
  </si>
  <si>
    <t>Attributen AP</t>
  </si>
  <si>
    <t>eingesetzte AP</t>
  </si>
  <si>
    <t>AP erhalten</t>
  </si>
  <si>
    <t>AP übrig</t>
  </si>
  <si>
    <t>AP investiert</t>
  </si>
  <si>
    <t>Av. GesamtWhs zu Failen</t>
  </si>
  <si>
    <t>AP Attribute</t>
  </si>
  <si>
    <t>ANLEITUNG</t>
  </si>
  <si>
    <t>&lt;---------------</t>
  </si>
  <si>
    <r>
      <t xml:space="preserve">anschließend </t>
    </r>
    <r>
      <rPr>
        <b/>
        <sz val="11"/>
        <color rgb="FF0070C0"/>
        <rFont val="Calibri"/>
        <family val="2"/>
        <scheme val="minor"/>
      </rPr>
      <t>Talentpunkte</t>
    </r>
    <r>
      <rPr>
        <b/>
        <sz val="11"/>
        <color theme="1"/>
        <rFont val="Calibri"/>
        <family val="2"/>
        <scheme val="minor"/>
      </rPr>
      <t xml:space="preserve"> um Differenzwert aufstocken (alles höher ist eig. nicht mehr nötig)</t>
    </r>
  </si>
  <si>
    <t>ERGEBNISSE</t>
  </si>
  <si>
    <t>------------------</t>
  </si>
  <si>
    <t>|</t>
  </si>
  <si>
    <t>^</t>
  </si>
  <si>
    <t>----------- |</t>
  </si>
  <si>
    <t>Rechtsklick Registerblätter, alle markieren, ungenutze Talentzeilen markieren und mit del löschen</t>
  </si>
  <si>
    <r>
      <rPr>
        <b/>
        <sz val="11"/>
        <color rgb="FFFF00FF"/>
        <rFont val="Calibri"/>
        <family val="2"/>
        <scheme val="minor"/>
      </rPr>
      <t>Attribute</t>
    </r>
    <r>
      <rPr>
        <b/>
        <sz val="11"/>
        <color theme="1"/>
        <rFont val="Calibri"/>
        <family val="2"/>
        <scheme val="minor"/>
      </rPr>
      <t xml:space="preserve"> erhöhen, bis hier nicht mehr negativ da dann kein Vorteil mehr, die Attribute zu skillen</t>
    </r>
  </si>
  <si>
    <t>This document and contained code is free for private non-commercial use only. Modifications and use for commercial use is not allowed.</t>
  </si>
  <si>
    <t>DSA5 Executor's MinMax-Helden-Attributstabelle, Copyright ©2015 GRILLITSCH Johann</t>
  </si>
  <si>
    <t>Version 1.0</t>
  </si>
  <si>
    <t>Contacts: PM (personal message) to user "Executor" on http://www.orkenspalter.de/</t>
  </si>
  <si>
    <t>This document is a fan project based on "Das Schwarze Auge Regelwerk: 5. Edition" (Das Schwarze Auge: Regelwerke), Copyright ©2015 Ulisses Spiele GmbH, Waldems.</t>
  </si>
  <si>
    <t>--------------------------------------</t>
  </si>
  <si>
    <t>--------------------</t>
  </si>
  <si>
    <t>Wahrscheinlichkeiten für Fail</t>
  </si>
  <si>
    <t>durchschn. nötige Punkte zum Ausgleichen</t>
  </si>
  <si>
    <t>Av. nötige Punkte um # Fails auszugleichen</t>
  </si>
  <si>
    <t>Av. nötige Gesamtpunkte</t>
  </si>
  <si>
    <t>Average/Durchschnitt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</si>
</sst>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9900"/>
      </left>
      <right style="thick">
        <color rgb="FFFF9900"/>
      </right>
      <top style="thick">
        <color rgb="FFFF9900"/>
      </top>
      <bottom style="thick">
        <color rgb="FFFF99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0" xfId="0" applyFont="1"/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Fill="1"/>
    <xf numFmtId="0" fontId="0" fillId="3" borderId="26" xfId="0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2" fontId="0" fillId="2" borderId="21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2" fontId="1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0" fillId="0" borderId="0" xfId="0" quotePrefix="1"/>
  </cellXfs>
  <cellStyles count="1">
    <cellStyle name="Standard" xfId="0" builtinId="0"/>
  </cellStyles>
  <dxfs count="1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00FFFF"/>
        </patternFill>
      </fill>
    </dxf>
  </dxfs>
  <tableStyles count="0" defaultTableStyle="TableStyleMedium9" defaultPivotStyle="PivotStyleLight16"/>
  <colors>
    <mruColors>
      <color rgb="FFFF9900"/>
      <color rgb="FF66FFFF"/>
      <color rgb="FF00FFFF"/>
      <color rgb="FFFF00FF"/>
      <color rgb="FFF8696B"/>
      <color rgb="FF63BE7B"/>
      <color rgb="FFFBFF4B"/>
      <color rgb="FFFF99FF"/>
      <color rgb="FFCCFF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Normal="100" workbookViewId="0">
      <selection activeCell="D75" sqref="D75:I75"/>
    </sheetView>
  </sheetViews>
  <sheetFormatPr baseColWidth="10" defaultRowHeight="15" outlineLevelRow="1"/>
  <cols>
    <col min="1" max="1" width="23.85546875" style="17" bestFit="1" customWidth="1"/>
    <col min="2" max="2" width="13" style="11" bestFit="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83" bestFit="1" customWidth="1"/>
    <col min="26" max="26" width="14" style="83" bestFit="1" customWidth="1"/>
    <col min="27" max="27" width="2.7109375" customWidth="1"/>
    <col min="28" max="28" width="11.28515625" style="84" customWidth="1"/>
    <col min="29" max="29" width="11.42578125" style="84"/>
    <col min="30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82"/>
    </row>
    <row r="2" spans="1:29">
      <c r="D2" s="95">
        <v>14</v>
      </c>
      <c r="E2" s="95">
        <v>14</v>
      </c>
      <c r="F2" s="95">
        <v>14</v>
      </c>
      <c r="G2" s="95">
        <v>12</v>
      </c>
      <c r="H2" s="95">
        <v>13</v>
      </c>
      <c r="I2" s="95">
        <v>12</v>
      </c>
      <c r="J2" s="95">
        <v>13</v>
      </c>
      <c r="K2" s="95">
        <v>8</v>
      </c>
      <c r="L2" s="19">
        <f>MUmaster+KLmaster+INmaster+CHmaster+FFmaster+GEmaster+KOmaster+KKmaster</f>
        <v>100</v>
      </c>
      <c r="M2" s="124">
        <v>19</v>
      </c>
      <c r="W2" s="82"/>
    </row>
    <row r="3" spans="1:29" s="84" customFormat="1">
      <c r="Y3" s="82"/>
      <c r="Z3" s="82"/>
      <c r="AA3"/>
    </row>
    <row r="4" spans="1:29" s="84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82"/>
      <c r="Z4" s="82"/>
      <c r="AA4"/>
    </row>
    <row r="5" spans="1:29" s="84" customFormat="1">
      <c r="D5" s="81">
        <f>MUmaster*15+IF(MUmaster&gt;14,MUmaster-14,0)*15+IF(MUmaster&gt;15,MUmaster-15,0)*15+IF(MUmaster&gt;16,MUmaster-16,0)*15+IF(MUmaster&gt;17,MUmaster-17,0)*15+IF(MUmaster&gt;18,MUmaster-18,0)*15+IF(MUmaster&gt;19,MUmaster-19,0)*15+IF(MUmaster&gt;20,MUmaster-20,0)*15+IF(MUmaster&gt;21,MUmaster-21,0)*15+IF(MUmaster&gt;22,MUmaster-22,0)*15+IF(MUmaster&gt;23,MUmaster-23,0)*15+IF(MUmaster&gt;24,MUmaster-24,0)*15-120</f>
        <v>90</v>
      </c>
      <c r="E5" s="81">
        <f>KLmaster*15+IF(KLmaster&gt;14,KLmaster-14,0)*15+IF(KLmaster&gt;15,KLmaster-15,0)*15+IF(KLmaster&gt;16,KLmaster-16,0)*15+IF(KLmaster&gt;17,KLmaster-17,0)*15+IF(KLmaster&gt;18,KLmaster-18,0)*15+IF(KLmaster&gt;19,KLmaster-19,0)*15+IF(KLmaster&gt;20,KLmaster-20,0)*15+IF(KLmaster&gt;21,KLmaster-21,0)*15+IF(KLmaster&gt;22,KLmaster-22,0)*15+IF(KLmaster&gt;23,KLmaster-23,0)*15+IF(KLmaster&gt;24,KLmaster-24,0)*15-120</f>
        <v>90</v>
      </c>
      <c r="F5" s="91">
        <f>INmaster*15+IF(INmaster&gt;14,INmaster-14,0)*15+IF(INmaster&gt;15,INmaster-15,0)*15+IF(INmaster&gt;16,INmaster-16,0)*15+IF(INmaster&gt;17,INmaster-17,0)*15+IF(INmaster&gt;18,INmaster-18,0)*15+IF(INmaster&gt;19,INmaster-19,0)*15+IF(INmaster&gt;20,INmaster-20,0)*15+IF(INmaster&gt;21,INmaster-21,0)*15+IF(INmaster&gt;22,INmaster-22,0)*15+IF(INmaster&gt;23,INmaster-23,0)*15+IF(INmaster&gt;24,INmaster-24,0)*15-120</f>
        <v>90</v>
      </c>
      <c r="G5" s="91">
        <f>CHmaster*15+IF(CHmaster&gt;14,CHmaster-14,0)*15+IF(CHmaster&gt;15,CHmaster-15,0)*15+IF(CHmaster&gt;16,CHmaster-16,0)*15+IF(CHmaster&gt;17,CHmaster-17,0)*15+IF(CHmaster&gt;18,CHmaster-18,0)*15+IF(CHmaster&gt;19,CHmaster-19,0)*15+IF(CHmaster&gt;20,CHmaster-20,0)*15+IF(CHmaster&gt;21,CHmaster-21,0)*15+IF(CHmaster&gt;22,CHmaster-22,0)*15+IF(CHmaster&gt;23,CHmaster-23,0)*15+IF(CHmaster&gt;24,CHmaster-24,0)*15-120</f>
        <v>60</v>
      </c>
      <c r="H5" s="91">
        <f>FFmaster*15+IF(FFmaster&gt;14,FFmaster-14,0)*15+IF(FFmaster&gt;15,FFmaster-15,0)*15+IF(FFmaster&gt;16,FFmaster-16,0)*15+IF(FFmaster&gt;17,FFmaster-17,0)*15+IF(FFmaster&gt;18,FFmaster-18,0)*15+IF(FFmaster&gt;19,FFmaster-19,0)*15+IF(FFmaster&gt;20,FFmaster-20,0)*15+IF(FFmaster&gt;21,FFmaster-21,0)*15+IF(FFmaster&gt;22,FFmaster-22,0)*15+IF(FFmaster&gt;23,FFmaster-23,0)*15+IF(FFmaster&gt;24,FFmaster-24,0)*15-120</f>
        <v>75</v>
      </c>
      <c r="I5" s="91">
        <f>GEmaster*15+IF(GEmaster&gt;14,GEmaster-14,0)*15+IF(GEmaster&gt;15,GEmaster-15,0)*15+IF(GEmaster&gt;16,GEmaster-16,0)*15+IF(GEmaster&gt;17,GEmaster-17,0)*15+IF(GEmaster&gt;18,GEmaster-18,0)*15+IF(GEmaster&gt;19,GEmaster-19,0)*15+IF(GEmaster&gt;20,GEmaster-20,0)*15+IF(GEmaster&gt;21,GEmaster-21,0)*15+IF(GEmaster&gt;22,GEmaster-22,0)*15+IF(GEmaster&gt;23,GEmaster-23,0)*15+IF(GEmaster&gt;24,GEmaster-24,0)*15-120</f>
        <v>60</v>
      </c>
      <c r="J5" s="91">
        <f>KOmaster*15+IF(KOmaster&gt;14,KOmaster-14,0)*15+IF(KOmaster&gt;15,KOmaster-15,0)*15+IF(KOmaster&gt;16,KOmaster-16,0)*15+IF(KOmaster&gt;17,KOmaster-17,0)*15+IF(KOmaster&gt;18,KOmaster-18,0)*15+IF(KOmaster&gt;19,KOmaster-19,0)*15+IF(KOmaster&gt;20,KOmaster-20,0)*15+IF(KOmaster&gt;21,KOmaster-21,0)*15+IF(KOmaster&gt;22,KOmaster-22,0)*15+IF(KOmaster&gt;23,KOmaster-23,0)*15+IF(KOmaster&gt;24,KOmaster-24,0)*15-120</f>
        <v>75</v>
      </c>
      <c r="K5" s="91">
        <f>KKmaster*15+IF(KKmaster&gt;14,KKmaster-14,0)*15+IF(KKmaster&gt;15,KKmaster-15,0)*15+IF(KKmaster&gt;16,KKmaster-16,0)*15+IF(KKmaster&gt;17,KKmaster-17,0)*15+IF(KKmaster&gt;18,KKmaster-18,0)*15+IF(KKmaster&gt;19,KKmaster-19,0)*15+IF(KKmaster&gt;20,KKmaster-20,0)*15+IF(KKmaster&gt;21,KKmaster-21,0)*15+IF(KKmaster&gt;22,KKmaster-22,0)*15+IF(KKmaster&gt;23,KKmaster-23,0)*15+IF(KKmaster&gt;24,KKmaster-24,0)*15-120</f>
        <v>0</v>
      </c>
      <c r="L5" s="91">
        <f>SUM(D5:K5)</f>
        <v>540</v>
      </c>
      <c r="M5" s="92">
        <f>W82</f>
        <v>0</v>
      </c>
      <c r="N5" s="93">
        <f>L5+M5</f>
        <v>540</v>
      </c>
      <c r="O5" s="125">
        <v>1100</v>
      </c>
      <c r="P5" s="94">
        <f>O5-N5</f>
        <v>560</v>
      </c>
      <c r="Y5" s="82"/>
      <c r="Z5" s="82"/>
      <c r="AA5"/>
    </row>
    <row r="6" spans="1:29">
      <c r="V6" s="1"/>
      <c r="W6" s="82"/>
    </row>
    <row r="7" spans="1:29"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</row>
    <row r="8" spans="1:29" ht="15.75" thickBot="1">
      <c r="B8" s="21"/>
      <c r="C8" s="22"/>
      <c r="D8" s="81" t="s">
        <v>0</v>
      </c>
      <c r="E8" s="81" t="s">
        <v>1</v>
      </c>
      <c r="F8" s="81" t="s">
        <v>2</v>
      </c>
      <c r="G8" s="81" t="s">
        <v>3</v>
      </c>
      <c r="H8" s="81" t="s">
        <v>4</v>
      </c>
      <c r="I8" s="81" t="s">
        <v>5</v>
      </c>
      <c r="J8" s="81" t="s">
        <v>6</v>
      </c>
      <c r="K8" s="81" t="s">
        <v>7</v>
      </c>
      <c r="L8" s="81" t="s">
        <v>111</v>
      </c>
      <c r="M8" s="81" t="s">
        <v>112</v>
      </c>
      <c r="N8" s="81" t="s">
        <v>113</v>
      </c>
      <c r="O8" s="81" t="s">
        <v>108</v>
      </c>
      <c r="P8" s="81" t="s">
        <v>109</v>
      </c>
      <c r="Q8" s="81" t="s">
        <v>110</v>
      </c>
      <c r="R8" s="81" t="s">
        <v>118</v>
      </c>
      <c r="S8" s="91" t="s">
        <v>131</v>
      </c>
      <c r="T8" s="91" t="s">
        <v>132</v>
      </c>
      <c r="U8" s="91" t="s">
        <v>133</v>
      </c>
      <c r="V8" s="117" t="s">
        <v>122</v>
      </c>
      <c r="W8" s="91" t="s">
        <v>128</v>
      </c>
      <c r="X8" s="117" t="s">
        <v>129</v>
      </c>
      <c r="Y8" s="118" t="s">
        <v>144</v>
      </c>
      <c r="Z8" s="118" t="s">
        <v>136</v>
      </c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C9" s="11"/>
    </row>
    <row r="10" spans="1:29" outlineLevel="1">
      <c r="A10" s="17" t="s">
        <v>10</v>
      </c>
      <c r="B10" s="8" t="s">
        <v>9</v>
      </c>
      <c r="C10" s="64" t="s">
        <v>138</v>
      </c>
      <c r="D10" s="60">
        <f>Konvention_1master-MUmaster</f>
        <v>5</v>
      </c>
      <c r="E10" s="61"/>
      <c r="F10" s="61">
        <f>Konvention_1master-INmaster</f>
        <v>5</v>
      </c>
      <c r="G10" s="61"/>
      <c r="H10" s="61"/>
      <c r="I10" s="61">
        <f>Konvention_1master-GEmaster</f>
        <v>7</v>
      </c>
      <c r="J10" s="61"/>
      <c r="K10" s="62"/>
      <c r="L10" s="27">
        <f>(D10+E10+F10+G10+H10+I10+J10+K10)/3</f>
        <v>5.666666666666667</v>
      </c>
      <c r="M10" s="27">
        <f>2*L10</f>
        <v>11.333333333333334</v>
      </c>
      <c r="N10" s="28">
        <f>3*L10</f>
        <v>17</v>
      </c>
      <c r="O10" s="11">
        <f>D10*POWER(KLmaster,SIGN(E10))*POWER(INmaster,SIGN(F10))*POWER(CHmaster,SIGN(G10))*POWER(FFmaster,SIGN(H10))*POWER(GEmaster,SIGN(I10))*POWER(KOmaster,SIGN(J10))*POWER(KKmaster,SIGN(K10))+E10*POWER(MUmaster,SIGN(D10))*POWER(INmaster,SIGN(F10))*POWER(CHmaster,SIGN(G10))*POWER(FFmaster,SIGN(H10))*POWER(GEmaster,SIGN(I10))*POWER(KOmaster,SIGN(J10))*POWER(KKmaster,SIGN(K10))+F10*POWER(MUmaster,SIGN(D10))*POWER(KLmaster,SIGN(E10))*POWER(CHmaster,SIGN(G10))*POWER(FFmaster,SIGN(H10))*POWER(GEmaster,SIGN(I10))*POWER(KOmaster,SIGN(J10))*POWER(KKmaster,SIGN(K10))+G10*POWER(MUmaster,SIGN(D10))*POWER(KLmaster,SIGN(E10))*POWER(INmaster,SIGN(F10))*POWER(FFmaster,SIGN(H10))*POWER(GEmaster,SIGN(I10))*POWER(KOmaster,SIGN(J10))*POWER(KKmaster,SIGN(K10))+H10*POWER(MUmaster,SIGN(D10))*POWER(KLmaster,SIGN(E10))*POWER(INmaster,SIGN(F10))*POWER(CHmaster,SIGN(G10))*POWER(GEmaster,SIGN(I10))*POWER(KOmaster,SIGN(J10))*POWER(KKmaster,SIGN(K10))+I10*POWER(MUmaster,SIGN(D10))*POWER(KLmaster,SIGN(E10))*POWER(INmaster,SIGN(F10))*POWER(CHmaster,SIGN(G10))*POWER(FFmaster,SIGN(H10))*POWER(KOmaster,SIGN(J10))*POWER(KKmaster,SIGN(K10))+J10*POWER(MUmaster,SIGN(D10))*POWER(KLmaster,SIGN(E10))*POWER(INmaster,SIGN(F10))*POWER(CHmaster,SIGN(G10))*POWER(FFmaster,SIGN(H10))*POWER(GEmaster,SIGN(I10))*POWER(KKmaster,SIGN(K10))+K10*POWER(MUmaster,SIGN(D10))*POWER(KLmaster,SIGN(E10))*POWER(INmaster,SIGN(F10))*POWER(CHmaster,SIGN(G10))*POWER(FFmaster,SIGN(H10))*POWER(GEmaster,SIGN(I10))*POWER(KOmaster,SIGN(J10))</f>
        <v>3052</v>
      </c>
      <c r="P10" s="11">
        <f>D10*F10*GEmaster+D10*INmaster*I10+MUmaster*F10*I10</f>
        <v>1280</v>
      </c>
      <c r="Q10" s="62">
        <f>IFERROR(D10^SIGN(D10),1)*IFERROR(E10^SIGN(E10),1)*IFERROR(F10^SIGN(F10),1)*IFERROR(G10^SIGN(G10),1)*IFERROR(H10^SIGN(H10),1)*IFERROR(I10^SIGN(I10),1)*IFERROR(J10^SIGN(J10),1)*IFERROR(K10^SIGN(K10),1)</f>
        <v>175</v>
      </c>
      <c r="R10" s="60">
        <f>SUM(O10:Q10)</f>
        <v>4507</v>
      </c>
      <c r="S10" s="29">
        <f>L10*O10/R10</f>
        <v>3.8372901412617413</v>
      </c>
      <c r="T10" s="30">
        <f>M10*P10/R10</f>
        <v>3.2186968419495603</v>
      </c>
      <c r="U10" s="31">
        <f>N10*Q10/R10</f>
        <v>0.66008431329043715</v>
      </c>
      <c r="V10" s="76">
        <f>SUM(S10:U10)</f>
        <v>7.7160712965017391</v>
      </c>
      <c r="W10" s="129">
        <v>0</v>
      </c>
      <c r="X10" s="3">
        <f>V10-W10</f>
        <v>7.7160712965017391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15.432142593003478</v>
      </c>
      <c r="AC10" s="11"/>
    </row>
    <row r="11" spans="1:29" outlineLevel="1">
      <c r="A11" s="17" t="s">
        <v>11</v>
      </c>
      <c r="B11" s="9" t="s">
        <v>74</v>
      </c>
      <c r="C11" s="68" t="s">
        <v>139</v>
      </c>
      <c r="D11" s="20">
        <f>Konvention_1master-MUmaster</f>
        <v>5</v>
      </c>
      <c r="E11" s="21"/>
      <c r="F11" s="21"/>
      <c r="G11" s="21">
        <f>Konvention_1master-CHmaster</f>
        <v>7</v>
      </c>
      <c r="H11" s="21">
        <f>Konvention_1master-FFmaster</f>
        <v>6</v>
      </c>
      <c r="I11" s="21"/>
      <c r="J11" s="21"/>
      <c r="K11" s="22"/>
      <c r="L11" s="27">
        <f>(D11+E11+F11+G11+H11+I11+J11+K11)/3</f>
        <v>6</v>
      </c>
      <c r="M11" s="27">
        <f t="shared" ref="M11:M72" si="0">2*L11</f>
        <v>12</v>
      </c>
      <c r="N11" s="32">
        <f t="shared" ref="N11:N72" si="1">3*L11</f>
        <v>18</v>
      </c>
      <c r="O11" s="11">
        <f>D11*POWER(KLmaster,SIGN(E11))*POWER(INmaster,SIGN(F11))*POWER(CHmaster,SIGN(G11))*POWER(FFmaster,SIGN(H11))*POWER(GEmaster,SIGN(I11))*POWER(KOmaster,SIGN(J11))*POWER(KKmaster,SIGN(K11))+E11*POWER(MUmaster,SIGN(D11))*POWER(INmaster,SIGN(F11))*POWER(CHmaster,SIGN(G11))*POWER(FFmaster,SIGN(H11))*POWER(GEmaster,SIGN(I11))*POWER(KOmaster,SIGN(J11))*POWER(KKmaster,SIGN(K11))+F11*POWER(MUmaster,SIGN(D11))*POWER(KLmaster,SIGN(E11))*POWER(CHmaster,SIGN(G11))*POWER(FFmaster,SIGN(H11))*POWER(GEmaster,SIGN(I11))*POWER(KOmaster,SIGN(J11))*POWER(KKmaster,SIGN(K11))+G11*POWER(MUmaster,SIGN(D11))*POWER(KLmaster,SIGN(E11))*POWER(INmaster,SIGN(F11))*POWER(FFmaster,SIGN(H11))*POWER(GEmaster,SIGN(I11))*POWER(KOmaster,SIGN(J11))*POWER(KKmaster,SIGN(K11))+H11*POWER(MUmaster,SIGN(D11))*POWER(KLmaster,SIGN(E11))*POWER(INmaster,SIGN(F11))*POWER(CHmaster,SIGN(G11))*POWER(GEmaster,SIGN(I11))*POWER(KOmaster,SIGN(J11))*POWER(KKmaster,SIGN(K11))+I11*POWER(MUmaster,SIGN(D11))*POWER(KLmaster,SIGN(E11))*POWER(INmaster,SIGN(F11))*POWER(CHmaster,SIGN(G11))*POWER(FFmaster,SIGN(H11))*POWER(KOmaster,SIGN(J11))*POWER(KKmaster,SIGN(K11))+J11*POWER(MUmaster,SIGN(D11))*POWER(KLmaster,SIGN(E11))*POWER(INmaster,SIGN(F11))*POWER(CHmaster,SIGN(G11))*POWER(FFmaster,SIGN(H11))*POWER(GEmaster,SIGN(I11))*POWER(KKmaster,SIGN(K11))+K11*POWER(MUmaster,SIGN(D11))*POWER(KLmaster,SIGN(E11))*POWER(INmaster,SIGN(F11))*POWER(CHmaster,SIGN(G11))*POWER(FFmaster,SIGN(H11))*POWER(GEmaster,SIGN(I11))*POWER(KOmaster,SIGN(J11))</f>
        <v>3062</v>
      </c>
      <c r="P11" s="11">
        <f>D11*G11*FFmaster+D11*CHmaster*H11+MUmaster*G11*H11</f>
        <v>1403</v>
      </c>
      <c r="Q11" s="22">
        <f t="shared" ref="Q11:Q66" si="2">IFERROR(D11^SIGN(D11),1)*IFERROR(E11^SIGN(E11),1)*IFERROR(F11^SIGN(F11),1)*IFERROR(G11^SIGN(G11),1)*IFERROR(H11^SIGN(H11),1)*IFERROR(I11^SIGN(I11),1)*IFERROR(J11^SIGN(J11),1)*IFERROR(K11^SIGN(K11),1)</f>
        <v>210</v>
      </c>
      <c r="R11" s="20">
        <f>SUM(O11:Q11)</f>
        <v>4675</v>
      </c>
      <c r="S11" s="33">
        <f t="shared" ref="S11:S72" si="3">L11*O11/R11</f>
        <v>3.9298395721925132</v>
      </c>
      <c r="T11" s="26">
        <f t="shared" ref="T11:T72" si="4">M11*P11/R11</f>
        <v>3.6012834224598929</v>
      </c>
      <c r="U11" s="34">
        <f t="shared" ref="U11:U72" si="5">N11*Q11/R11</f>
        <v>0.80855614973262036</v>
      </c>
      <c r="V11" s="15">
        <f t="shared" ref="V11:V72" si="6">SUM(S11:U11)</f>
        <v>8.3396791443850269</v>
      </c>
      <c r="W11" s="123">
        <v>0</v>
      </c>
      <c r="X11" s="4">
        <f t="shared" ref="X11:X72" si="7">V11-W11</f>
        <v>8.3396791443850269</v>
      </c>
      <c r="Y11" s="72">
        <f t="shared" ref="Y11:Y72" si="8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8.3396791443850269</v>
      </c>
      <c r="AC11" s="11"/>
    </row>
    <row r="12" spans="1:29" outlineLevel="1">
      <c r="A12" s="17" t="s">
        <v>12</v>
      </c>
      <c r="B12" s="9" t="s">
        <v>75</v>
      </c>
      <c r="C12" s="68" t="s">
        <v>138</v>
      </c>
      <c r="D12" s="20">
        <f>Konvention_1master-MUmaster</f>
        <v>5</v>
      </c>
      <c r="E12" s="21"/>
      <c r="F12" s="21"/>
      <c r="G12" s="21"/>
      <c r="H12" s="21"/>
      <c r="I12" s="21">
        <f>Konvention_1master-GEmaster</f>
        <v>7</v>
      </c>
      <c r="J12" s="21"/>
      <c r="K12" s="22">
        <f>Konvention_1master-KKmaster</f>
        <v>11</v>
      </c>
      <c r="L12" s="27">
        <f>(D12+E12+F12+G12+H12+I12+J12+K12)/3</f>
        <v>7.666666666666667</v>
      </c>
      <c r="M12" s="27">
        <f t="shared" si="0"/>
        <v>15.333333333333334</v>
      </c>
      <c r="N12" s="32">
        <f t="shared" si="1"/>
        <v>23</v>
      </c>
      <c r="O12" s="11">
        <f>D12*POWER(KLmaster,SIGN(E12))*POWER(INmaster,SIGN(F12))*POWER(CHmaster,SIGN(G12))*POWER(FFmaster,SIGN(H12))*POWER(GEmaster,SIGN(I12))*POWER(KOmaster,SIGN(J12))*POWER(KKmaster,SIGN(K12))+E12*POWER(MUmaster,SIGN(D12))*POWER(INmaster,SIGN(F12))*POWER(CHmaster,SIGN(G12))*POWER(FFmaster,SIGN(H12))*POWER(GEmaster,SIGN(I12))*POWER(KOmaster,SIGN(J12))*POWER(KKmaster,SIGN(K12))+F12*POWER(MUmaster,SIGN(D12))*POWER(KLmaster,SIGN(E12))*POWER(CHmaster,SIGN(G12))*POWER(FFmaster,SIGN(H12))*POWER(GEmaster,SIGN(I12))*POWER(KOmaster,SIGN(J12))*POWER(KKmaster,SIGN(K12))+G12*POWER(MUmaster,SIGN(D12))*POWER(KLmaster,SIGN(E12))*POWER(INmaster,SIGN(F12))*POWER(FFmaster,SIGN(H12))*POWER(GEmaster,SIGN(I12))*POWER(KOmaster,SIGN(J12))*POWER(KKmaster,SIGN(K12))+H12*POWER(MUmaster,SIGN(D12))*POWER(KLmaster,SIGN(E12))*POWER(INmaster,SIGN(F12))*POWER(CHmaster,SIGN(G12))*POWER(GEmaster,SIGN(I12))*POWER(KOmaster,SIGN(J12))*POWER(KKmaster,SIGN(K12))+I12*POWER(MUmaster,SIGN(D12))*POWER(KLmaster,SIGN(E12))*POWER(INmaster,SIGN(F12))*POWER(CHmaster,SIGN(G12))*POWER(FFmaster,SIGN(H12))*POWER(KOmaster,SIGN(J12))*POWER(KKmaster,SIGN(K12))+J12*POWER(MUmaster,SIGN(D12))*POWER(KLmaster,SIGN(E12))*POWER(INmaster,SIGN(F12))*POWER(CHmaster,SIGN(G12))*POWER(FFmaster,SIGN(H12))*POWER(GEmaster,SIGN(I12))*POWER(KKmaster,SIGN(K12))+K12*POWER(MUmaster,SIGN(D12))*POWER(KLmaster,SIGN(E12))*POWER(INmaster,SIGN(F12))*POWER(CHmaster,SIGN(G12))*POWER(FFmaster,SIGN(H12))*POWER(GEmaster,SIGN(I12))*POWER(KOmaster,SIGN(J12))</f>
        <v>3112</v>
      </c>
      <c r="P12" s="11">
        <f>D12*I12*KKmaster+D12*GEmaster*K12+MUmaster*I12*K12</f>
        <v>2018</v>
      </c>
      <c r="Q12" s="22">
        <f t="shared" si="2"/>
        <v>385</v>
      </c>
      <c r="R12" s="20">
        <f t="shared" ref="R12:R22" si="9">SUM(O12:Q12)</f>
        <v>5515</v>
      </c>
      <c r="S12" s="33">
        <f t="shared" si="3"/>
        <v>4.3261408280447267</v>
      </c>
      <c r="T12" s="26">
        <f t="shared" si="4"/>
        <v>5.6106376548806285</v>
      </c>
      <c r="U12" s="34">
        <f t="shared" si="5"/>
        <v>1.6056210335448775</v>
      </c>
      <c r="V12" s="15">
        <f t="shared" si="6"/>
        <v>11.542399516470233</v>
      </c>
      <c r="W12" s="123">
        <v>0</v>
      </c>
      <c r="X12" s="4">
        <f t="shared" si="7"/>
        <v>11.542399516470233</v>
      </c>
      <c r="Y12" s="72">
        <f t="shared" si="8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23.084799032940467</v>
      </c>
      <c r="AC12" s="11"/>
    </row>
    <row r="13" spans="1:29" outlineLevel="1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Konvention_1master-GEmaster</f>
        <v>7</v>
      </c>
      <c r="J13" s="21">
        <f>Konvention_1master-KOmaster</f>
        <v>6</v>
      </c>
      <c r="K13" s="22"/>
      <c r="L13" s="27">
        <f>(I13+I13+J13)/3</f>
        <v>6.666666666666667</v>
      </c>
      <c r="M13" s="27">
        <f t="shared" si="0"/>
        <v>13.333333333333334</v>
      </c>
      <c r="N13" s="32">
        <f t="shared" si="1"/>
        <v>20</v>
      </c>
      <c r="O13" s="11">
        <f>I13*POWER(MUmaster,SIGN(D13))*POWER(KLmaster,SIGN(E13))*POWER(INmaster,SIGN(F13))*POWER(CHmaster,SIGN(G13))*POWER(FFmaster,SIGN(H13))*POWER(GEmaster,SIGN(I13))*POWER(KOmaster,SIGN(J13))*POWER(KKmaster,SIGN(K13))+I13*POWER(MUmaster,SIGN(D13))*POWER(KLmaster,SIGN(E13))*POWER(INmaster,SIGN(F13))*POWER(CHmaster,SIGN(G13))*POWER(FFmaster,SIGN(H13))*POWER(GEmaster,SIGN(I13))*POWER(KOmaster,SIGN(J13))*POWER(KKmaster,SIGN(K13))+J13*POWER(MUmaster,SIGN(D13))*POWER(KLmaster,SIGN(E13))*POWER(INmaster,SIGN(F13))*POWER(CHmaster,SIGN(G13))*POWER(FFmaster,SIGN(H13))*POWER(GEmaster,SIGN(I13))*POWER(GEmaster,SIGN(I13))*POWER(KKmaster,SIGN(K13))</f>
        <v>3048</v>
      </c>
      <c r="P13" s="11">
        <f>I13*I13*KOmaster+I13*GEmaster*J13+GEmaster*I13*J13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9"/>
        <v>4987</v>
      </c>
      <c r="S13" s="33">
        <f t="shared" si="3"/>
        <v>4.0745939442550636</v>
      </c>
      <c r="T13" s="26">
        <f t="shared" si="4"/>
        <v>4.3981017311677029</v>
      </c>
      <c r="U13" s="34">
        <f t="shared" si="5"/>
        <v>1.1790655704832564</v>
      </c>
      <c r="V13" s="15">
        <f t="shared" si="6"/>
        <v>9.6517612459060231</v>
      </c>
      <c r="W13" s="123">
        <v>0</v>
      </c>
      <c r="X13" s="4">
        <f t="shared" si="7"/>
        <v>9.6517612459060231</v>
      </c>
      <c r="Y13" s="72">
        <f t="shared" si="8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C13" s="11"/>
    </row>
    <row r="14" spans="1:29" outlineLevel="1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Konvention_1master-KOmaster</f>
        <v>6</v>
      </c>
      <c r="K14" s="22">
        <f>Konvention_1master-KKmaster</f>
        <v>11</v>
      </c>
      <c r="L14" s="27">
        <f>(J14+K14+K14)/3</f>
        <v>9.3333333333333339</v>
      </c>
      <c r="M14" s="27">
        <f t="shared" si="0"/>
        <v>18.666666666666668</v>
      </c>
      <c r="N14" s="32">
        <f t="shared" si="1"/>
        <v>28</v>
      </c>
      <c r="O14" s="11">
        <f>K14*POWER(MUmaster,SIGN(D14))*POWER(KLmaster,SIGN(E14))*POWER(INmaster,SIGN(F14))*POWER(CHmaster,SIGN(G14))*POWER(FFmaster,SIGN(H14))*POWER(GEmaster,SIGN(I14))*POWER(KOmaster,SIGN(J14))*POWER(KKmaster,SIGN(K14))+K14*POWER(MUmaster,SIGN(D14))*POWER(KLmaster,SIGN(E14))*POWER(INmaster,SIGN(F14))*POWER(CHmaster,SIGN(G14))*POWER(FFmaster,SIGN(H14))*POWER(GEmaster,SIGN(I14))*POWER(KOmaster,SIGN(J14))*POWER(KKmaster,SIGN(K14))+J14*POWER(MUmaster,SIGN(D14))*POWER(KLmaster,SIGN(E14))*POWER(INmaster,SIGN(F14))*POWER(CHmaster,SIGN(G14))*POWER(FFmaster,SIGN(H14))*POWER(GEmaster,SIGN(I14)) *POWER(KKmaster,SIGN(K14))*POWER(KKmaster,SIGN(K14))</f>
        <v>2672</v>
      </c>
      <c r="P14" s="11">
        <f>J14*K14*KKmaster+J14*KKmaster*K14+KOmaster*K14*K14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9"/>
        <v>6027</v>
      </c>
      <c r="S14" s="33">
        <f t="shared" si="3"/>
        <v>4.137824235385211</v>
      </c>
      <c r="T14" s="26">
        <f t="shared" si="4"/>
        <v>8.1424699961285327</v>
      </c>
      <c r="U14" s="34">
        <f t="shared" si="5"/>
        <v>3.3728222996515678</v>
      </c>
      <c r="V14" s="15">
        <f t="shared" si="6"/>
        <v>15.65311653116531</v>
      </c>
      <c r="W14" s="123">
        <v>0</v>
      </c>
      <c r="X14" s="4">
        <f t="shared" si="7"/>
        <v>15.65311653116531</v>
      </c>
      <c r="Y14" s="72">
        <f t="shared" si="8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C14" s="11"/>
    </row>
    <row r="15" spans="1:29" outlineLevel="1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Konvention_1master-CHmaster</f>
        <v>7</v>
      </c>
      <c r="H15" s="21"/>
      <c r="I15" s="21">
        <f>Konvention_1master-GEmaster</f>
        <v>7</v>
      </c>
      <c r="J15" s="21"/>
      <c r="K15" s="22">
        <f>Konvention_1master-KKmaster</f>
        <v>11</v>
      </c>
      <c r="L15" s="27">
        <f>(D15+E15+F15+G15+H15+I15+J15+K15)/3</f>
        <v>8.3333333333333339</v>
      </c>
      <c r="M15" s="27">
        <f t="shared" si="0"/>
        <v>16.666666666666668</v>
      </c>
      <c r="N15" s="32">
        <f t="shared" si="1"/>
        <v>25</v>
      </c>
      <c r="O15" s="11">
        <f>D15*POWER(KLmaster,SIGN(E15))*POWER(INmaster,SIGN(F15))*POWER(CHmaster,SIGN(G15))*POWER(FFmaster,SIGN(H15))*POWER(GEmaster,SIGN(I15))*POWER(KOmaster,SIGN(J15))*POWER(KKmaster,SIGN(K15))+E15*POWER(MUmaster,SIGN(D15))*POWER(INmaster,SIGN(F15))*POWER(CHmaster,SIGN(G15))*POWER(FFmaster,SIGN(H15))*POWER(GEmaster,SIGN(I15))*POWER(KOmaster,SIGN(J15))*POWER(KKmaster,SIGN(K15))+F15*POWER(MUmaster,SIGN(D15))*POWER(KLmaster,SIGN(E15))*POWER(CHmaster,SIGN(G15))*POWER(FFmaster,SIGN(H15))*POWER(GEmaster,SIGN(I15))*POWER(KOmaster,SIGN(J15))*POWER(KKmaster,SIGN(K15))+G15*POWER(MUmaster,SIGN(D15))*POWER(KLmaster,SIGN(E15))*POWER(INmaster,SIGN(F15))*POWER(FFmaster,SIGN(H15))*POWER(GEmaster,SIGN(I15))*POWER(KOmaster,SIGN(J15))*POWER(KKmaster,SIGN(K15))+H15*POWER(MUmaster,SIGN(D15))*POWER(KLmaster,SIGN(E15))*POWER(INmaster,SIGN(F15))*POWER(CHmaster,SIGN(G15))*POWER(GEmaster,SIGN(I15))*POWER(KOmaster,SIGN(J15))*POWER(KKmaster,SIGN(K15))+I15*POWER(MUmaster,SIGN(D15))*POWER(KLmaster,SIGN(E15))*POWER(INmaster,SIGN(F15))*POWER(CHmaster,SIGN(G15))*POWER(FFmaster,SIGN(H15))*POWER(KOmaster,SIGN(J15))*POWER(KKmaster,SIGN(K15))+J15*POWER(MUmaster,SIGN(D15))*POWER(KLmaster,SIGN(E15))*POWER(INmaster,SIGN(F15))*POWER(CHmaster,SIGN(G15))*POWER(FFmaster,SIGN(H15))*POWER(GEmaster,SIGN(I15))*POWER(KKmaster,SIGN(K15))+K15*POWER(MUmaster,SIGN(D15))*POWER(KLmaster,SIGN(E15))*POWER(INmaster,SIGN(F15))*POWER(CHmaster,SIGN(G15))*POWER(FFmaster,SIGN(H15))*POWER(GEmaster,SIGN(I15))*POWER(KOmaster,SIGN(J15))</f>
        <v>2928</v>
      </c>
      <c r="P15" s="11">
        <f>G15*I15*KKmaster+G15*GEmaster*K15+CHmaster*I15*K15</f>
        <v>2240</v>
      </c>
      <c r="Q15" s="22">
        <f t="shared" si="2"/>
        <v>539</v>
      </c>
      <c r="R15" s="20">
        <f t="shared" si="9"/>
        <v>5707</v>
      </c>
      <c r="S15" s="33">
        <f t="shared" si="3"/>
        <v>4.2754512002803571</v>
      </c>
      <c r="T15" s="26">
        <f t="shared" si="4"/>
        <v>6.541673967642077</v>
      </c>
      <c r="U15" s="34">
        <f t="shared" si="5"/>
        <v>2.361135447695812</v>
      </c>
      <c r="V15" s="15">
        <f t="shared" si="6"/>
        <v>13.178260615618246</v>
      </c>
      <c r="W15" s="123">
        <v>0</v>
      </c>
      <c r="X15" s="4">
        <f t="shared" si="7"/>
        <v>13.178260615618246</v>
      </c>
      <c r="Y15" s="72">
        <f t="shared" si="8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29.069563693709476</v>
      </c>
      <c r="AC15" s="11"/>
    </row>
    <row r="16" spans="1:29" outlineLevel="1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Konvention_1master-GEmaster</f>
        <v>7</v>
      </c>
      <c r="J16" s="21">
        <f>Konvention_1master-KOmaster</f>
        <v>6</v>
      </c>
      <c r="K16" s="22">
        <f>Konvention_1master-KKmaster</f>
        <v>11</v>
      </c>
      <c r="L16" s="27">
        <f>(D16+E16+F16+G16+H16+I16+J16+K16)/3</f>
        <v>8</v>
      </c>
      <c r="M16" s="27">
        <f t="shared" si="0"/>
        <v>16</v>
      </c>
      <c r="N16" s="32">
        <f t="shared" si="1"/>
        <v>24</v>
      </c>
      <c r="O16" s="11">
        <f>D16*POWER(KLmaster,SIGN(E16))*POWER(INmaster,SIGN(F16))*POWER(CHmaster,SIGN(G16))*POWER(FFmaster,SIGN(H16))*POWER(GEmaster,SIGN(I16))*POWER(KOmaster,SIGN(J16))*POWER(KKmaster,SIGN(K16))+E16*POWER(MUmaster,SIGN(D16))*POWER(INmaster,SIGN(F16))*POWER(CHmaster,SIGN(G16))*POWER(FFmaster,SIGN(H16))*POWER(GEmaster,SIGN(I16))*POWER(KOmaster,SIGN(J16))*POWER(KKmaster,SIGN(K16))+F16*POWER(MUmaster,SIGN(D16))*POWER(KLmaster,SIGN(E16))*POWER(CHmaster,SIGN(G16))*POWER(FFmaster,SIGN(H16))*POWER(GEmaster,SIGN(I16))*POWER(KOmaster,SIGN(J16))*POWER(KKmaster,SIGN(K16))+G16*POWER(MUmaster,SIGN(D16))*POWER(KLmaster,SIGN(E16))*POWER(INmaster,SIGN(F16))*POWER(FFmaster,SIGN(H16))*POWER(GEmaster,SIGN(I16))*POWER(KOmaster,SIGN(J16))*POWER(KKmaster,SIGN(K16))+H16*POWER(MUmaster,SIGN(D16))*POWER(KLmaster,SIGN(E16))*POWER(INmaster,SIGN(F16))*POWER(CHmaster,SIGN(G16))*POWER(GEmaster,SIGN(I16))*POWER(KOmaster,SIGN(J16))*POWER(KKmaster,SIGN(K16))+I16*POWER(MUmaster,SIGN(D16))*POWER(KLmaster,SIGN(E16))*POWER(INmaster,SIGN(F16))*POWER(CHmaster,SIGN(G16))*POWER(FFmaster,SIGN(H16))*POWER(KOmaster,SIGN(J16))*POWER(KKmaster,SIGN(K16))+J16*POWER(MUmaster,SIGN(D16))*POWER(KLmaster,SIGN(E16))*POWER(INmaster,SIGN(F16))*POWER(CHmaster,SIGN(G16))*POWER(FFmaster,SIGN(H16))*POWER(GEmaster,SIGN(I16))*POWER(KKmaster,SIGN(K16))+K16*POWER(MUmaster,SIGN(D16))*POWER(KLmaster,SIGN(E16))*POWER(INmaster,SIGN(F16))*POWER(CHmaster,SIGN(G16))*POWER(FFmaster,SIGN(H16))*POWER(GEmaster,SIGN(I16))*POWER(KOmaster,SIGN(J16))</f>
        <v>3020</v>
      </c>
      <c r="P16" s="11">
        <f>I16*J16*KKmaster+I16*KOmaster*K16+GEmaster*J16*K16</f>
        <v>2129</v>
      </c>
      <c r="Q16" s="22">
        <f t="shared" si="2"/>
        <v>462</v>
      </c>
      <c r="R16" s="20">
        <f t="shared" si="9"/>
        <v>5611</v>
      </c>
      <c r="S16" s="33">
        <f t="shared" si="3"/>
        <v>4.3058278381750137</v>
      </c>
      <c r="T16" s="26">
        <f t="shared" si="4"/>
        <v>6.0709320976653007</v>
      </c>
      <c r="U16" s="34">
        <f t="shared" si="5"/>
        <v>1.9761183389770094</v>
      </c>
      <c r="V16" s="15">
        <f t="shared" si="6"/>
        <v>12.352878274817325</v>
      </c>
      <c r="W16" s="123">
        <v>0</v>
      </c>
      <c r="X16" s="4">
        <f t="shared" si="7"/>
        <v>12.352878274817325</v>
      </c>
      <c r="Y16" s="72">
        <f t="shared" si="8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25.4115130992693</v>
      </c>
      <c r="AC16" s="11"/>
    </row>
    <row r="17" spans="1:29" outlineLevel="1">
      <c r="A17" s="17" t="s">
        <v>17</v>
      </c>
      <c r="B17" s="9" t="s">
        <v>80</v>
      </c>
      <c r="C17" s="68" t="s">
        <v>140</v>
      </c>
      <c r="D17" s="20">
        <f>Konvention_1master-MUmaster</f>
        <v>5</v>
      </c>
      <c r="E17" s="21"/>
      <c r="F17" s="21"/>
      <c r="G17" s="21"/>
      <c r="H17" s="21"/>
      <c r="I17" s="21"/>
      <c r="J17" s="21">
        <f>Konvention_1master-KOmaster</f>
        <v>6</v>
      </c>
      <c r="K17" s="22"/>
      <c r="L17" s="27">
        <f>(D17+D17+J17)/3</f>
        <v>5.333333333333333</v>
      </c>
      <c r="M17" s="27">
        <f t="shared" si="0"/>
        <v>10.666666666666666</v>
      </c>
      <c r="N17" s="32">
        <f t="shared" si="1"/>
        <v>16</v>
      </c>
      <c r="O17" s="11">
        <f>D17*POWER(MUmaster,SIGN(D17))*POWER(KLmaster,SIGN(E17))*POWER(INmaster,SIGN(F17))*POWER(CHmaster,SIGN(G17))*POWER(FFmaster,SIGN(H17))*POWER(GEmaster,SIGN(I17))*POWER(KOmaster,SIGN(J17))*POWER(KKmaster,SIGN(K17))+D17*POWER(MUmaster,SIGN(D17))*POWER(KLmaster,SIGN(E17))*POWER(INmaster,SIGN(F17))*POWER(CHmaster,SIGN(G17))*POWER(FFmaster,SIGN(H17))*POWER(GEmaster,SIGN(I17))*POWER(KOmaster,SIGN(J17))*POWER(KKmaster,SIGN(K17))+J17*POWER(MUmaster,SIGN(D17))*POWER(KLmaster,SIGN(E17))*POWER(INmaster,SIGN(F17))*POWER(CHmaster,SIGN(G17))*POWER(FFmaster,SIGN(H17))*POWER(GEmaster,SIGN(I17)) *POWER(KKmaster,SIGN(K17))*POWER(MUmaster,SIGN(D17))</f>
        <v>2996</v>
      </c>
      <c r="P17" s="11">
        <f>D17*D17*KOmaster+D17*MUmaster*J17+MUmaster*D17*J17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9"/>
        <v>4311</v>
      </c>
      <c r="S17" s="33">
        <f t="shared" si="3"/>
        <v>3.7064872806000153</v>
      </c>
      <c r="T17" s="26">
        <f t="shared" si="4"/>
        <v>2.8825485192917344</v>
      </c>
      <c r="U17" s="34">
        <f t="shared" si="5"/>
        <v>0.55671537926235215</v>
      </c>
      <c r="V17" s="15">
        <f t="shared" si="6"/>
        <v>7.145751179154102</v>
      </c>
      <c r="W17" s="123">
        <v>0</v>
      </c>
      <c r="X17" s="4">
        <f t="shared" si="7"/>
        <v>7.145751179154102</v>
      </c>
      <c r="Y17" s="72">
        <f t="shared" si="8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C17" s="11"/>
    </row>
    <row r="18" spans="1:29" outlineLevel="1">
      <c r="A18" s="17" t="s">
        <v>18</v>
      </c>
      <c r="B18" s="9" t="s">
        <v>81</v>
      </c>
      <c r="C18" s="68" t="s">
        <v>139</v>
      </c>
      <c r="D18" s="20"/>
      <c r="E18" s="21">
        <f>Konvention_1master-KLmaster</f>
        <v>5</v>
      </c>
      <c r="F18" s="21"/>
      <c r="G18" s="21">
        <f>Konvention_1master-CHmaster</f>
        <v>7</v>
      </c>
      <c r="H18" s="21"/>
      <c r="I18" s="21"/>
      <c r="J18" s="21">
        <f>Konvention_1master-KOmaster</f>
        <v>6</v>
      </c>
      <c r="K18" s="22"/>
      <c r="L18" s="27">
        <f>(D18+E18+F18+G18+H18+I18+J18+K18)/3</f>
        <v>6</v>
      </c>
      <c r="M18" s="27">
        <f t="shared" si="0"/>
        <v>12</v>
      </c>
      <c r="N18" s="32">
        <f t="shared" si="1"/>
        <v>18</v>
      </c>
      <c r="O18" s="11">
        <f>D18*POWER(KLmaster,SIGN(E18))*POWER(INmaster,SIGN(F18))*POWER(CHmaster,SIGN(G18))*POWER(FFmaster,SIGN(H18))*POWER(GEmaster,SIGN(I18))*POWER(KOmaster,SIGN(J18))*POWER(KKmaster,SIGN(K18))+E18*POWER(MUmaster,SIGN(D18))*POWER(INmaster,SIGN(F18))*POWER(CHmaster,SIGN(G18))*POWER(FFmaster,SIGN(H18))*POWER(GEmaster,SIGN(I18))*POWER(KOmaster,SIGN(J18))*POWER(KKmaster,SIGN(K18))+F18*POWER(MUmaster,SIGN(D18))*POWER(KLmaster,SIGN(E18))*POWER(CHmaster,SIGN(G18))*POWER(FFmaster,SIGN(H18))*POWER(GEmaster,SIGN(I18))*POWER(KOmaster,SIGN(J18))*POWER(KKmaster,SIGN(K18))+G18*POWER(MUmaster,SIGN(D18))*POWER(KLmaster,SIGN(E18))*POWER(INmaster,SIGN(F18))*POWER(FFmaster,SIGN(H18))*POWER(GEmaster,SIGN(I18))*POWER(KOmaster,SIGN(J18))*POWER(KKmaster,SIGN(K18))+H18*POWER(MUmaster,SIGN(D18))*POWER(KLmaster,SIGN(E18))*POWER(INmaster,SIGN(F18))*POWER(CHmaster,SIGN(G18))*POWER(GEmaster,SIGN(I18))*POWER(KOmaster,SIGN(J18))*POWER(KKmaster,SIGN(K18))+I18*POWER(MUmaster,SIGN(D18))*POWER(KLmaster,SIGN(E18))*POWER(INmaster,SIGN(F18))*POWER(CHmaster,SIGN(G18))*POWER(FFmaster,SIGN(H18))*POWER(KOmaster,SIGN(J18))*POWER(KKmaster,SIGN(K18))+J18*POWER(MUmaster,SIGN(D18))*POWER(KLmaster,SIGN(E18))*POWER(INmaster,SIGN(F18))*POWER(CHmaster,SIGN(G18))*POWER(FFmaster,SIGN(H18))*POWER(GEmaster,SIGN(I18))*POWER(KKmaster,SIGN(K18))+K18*POWER(MUmaster,SIGN(D18))*POWER(KLmaster,SIGN(E18))*POWER(INmaster,SIGN(F18))*POWER(CHmaster,SIGN(G18))*POWER(FFmaster,SIGN(H18))*POWER(GEmaster,SIGN(I18))*POWER(KOmaster,SIGN(J18))</f>
        <v>3062</v>
      </c>
      <c r="P18" s="11">
        <f>E18*G18*KOmaster+E18*CHmaster*J18+KLmaster*G18*J18</f>
        <v>1403</v>
      </c>
      <c r="Q18" s="22">
        <f t="shared" si="2"/>
        <v>210</v>
      </c>
      <c r="R18" s="20">
        <f t="shared" si="9"/>
        <v>4675</v>
      </c>
      <c r="S18" s="33">
        <f t="shared" si="3"/>
        <v>3.9298395721925132</v>
      </c>
      <c r="T18" s="26">
        <f t="shared" si="4"/>
        <v>3.6012834224598929</v>
      </c>
      <c r="U18" s="34">
        <f t="shared" si="5"/>
        <v>0.80855614973262036</v>
      </c>
      <c r="V18" s="15">
        <f t="shared" si="6"/>
        <v>8.3396791443850269</v>
      </c>
      <c r="W18" s="123">
        <v>0</v>
      </c>
      <c r="X18" s="4">
        <f t="shared" si="7"/>
        <v>8.3396791443850269</v>
      </c>
      <c r="Y18" s="72">
        <f t="shared" si="8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8.3396791443850269</v>
      </c>
      <c r="AC18" s="11"/>
    </row>
    <row r="19" spans="1:29" outlineLevel="1">
      <c r="A19" s="17" t="s">
        <v>19</v>
      </c>
      <c r="B19" s="9" t="s">
        <v>82</v>
      </c>
      <c r="C19" s="68" t="s">
        <v>140</v>
      </c>
      <c r="D19" s="20"/>
      <c r="E19" s="21">
        <f>Konvention_1master-KLmaster</f>
        <v>5</v>
      </c>
      <c r="F19" s="21">
        <f>Konvention_1master-INmaster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0"/>
        <v>10</v>
      </c>
      <c r="N19" s="32">
        <f t="shared" si="1"/>
        <v>15</v>
      </c>
      <c r="O19" s="11">
        <f>F19*POWER(MUmaster,SIGN(D19))*POWER(KLmaster,SIGN(E19))*POWER(INmaster,SIGN(F19))*POWER(CHmaster,SIGN(G19))*POWER(FFmaster,SIGN(H19))*POWER(GEmaster,SIGN(I19))*POWER(KOmaster,SIGN(J19))*POWER(KKmaster,SIGN(K19))+F19*POWER(MUmaster,SIGN(D19))*POWER(KLmaster,SIGN(E19))*POWER(INmaster,SIGN(F19))*POWER(CHmaster,SIGN(G19))*POWER(FFmaster,SIGN(H19))*POWER(GEmaster,SIGN(I19))*POWER(KOmaster,SIGN(J19))*POWER(KKmaster,SIGN(K19))+E19*POWER(MUmaster,SIGN(D19))*POWER(INmaster,SIGN(F19))*POWER(CHmaster,SIGN(G19))*POWER(FFmaster,SIGN(H19))*POWER(GEmaster,SIGN(I19)) *POWER(KKmaster,SIGN(K19))*POWER(INmaster,SIGN(F19))</f>
        <v>2940</v>
      </c>
      <c r="P19" s="11">
        <f>E19*F19*INmaster+E19*INmaster*F19+KLmaster*F19*F19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9"/>
        <v>4115</v>
      </c>
      <c r="S19" s="33">
        <f t="shared" si="3"/>
        <v>3.5722964763061968</v>
      </c>
      <c r="T19" s="26">
        <f t="shared" si="4"/>
        <v>2.5516403402187122</v>
      </c>
      <c r="U19" s="34">
        <f t="shared" si="5"/>
        <v>0.45565006075334141</v>
      </c>
      <c r="V19" s="15">
        <f t="shared" si="6"/>
        <v>6.57958687727825</v>
      </c>
      <c r="W19" s="123">
        <v>0</v>
      </c>
      <c r="X19" s="4">
        <f t="shared" si="7"/>
        <v>6.57958687727825</v>
      </c>
      <c r="Y19" s="72">
        <f t="shared" si="8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C19" s="11"/>
    </row>
    <row r="20" spans="1:29" outlineLevel="1">
      <c r="A20" s="17" t="s">
        <v>20</v>
      </c>
      <c r="B20" s="9" t="s">
        <v>83</v>
      </c>
      <c r="C20" s="68" t="s">
        <v>139</v>
      </c>
      <c r="D20" s="20"/>
      <c r="E20" s="21">
        <f>Konvention_1master-KLmaster</f>
        <v>5</v>
      </c>
      <c r="F20" s="21"/>
      <c r="G20" s="21">
        <f>Konvention_1master-CHmaster</f>
        <v>7</v>
      </c>
      <c r="H20" s="21"/>
      <c r="I20" s="21">
        <f>Konvention_1master-GEmaster</f>
        <v>7</v>
      </c>
      <c r="J20" s="21"/>
      <c r="K20" s="22"/>
      <c r="L20" s="27">
        <f>(D20+E20+F20+G20+H20+I20+J20+K20)/3</f>
        <v>6.333333333333333</v>
      </c>
      <c r="M20" s="27">
        <f t="shared" si="0"/>
        <v>12.666666666666666</v>
      </c>
      <c r="N20" s="32">
        <f t="shared" si="1"/>
        <v>19</v>
      </c>
      <c r="O20" s="11">
        <f>D20*POWER(KLmaster,SIGN(E20))*POWER(INmaster,SIGN(F20))*POWER(CHmaster,SIGN(G20))*POWER(FFmaster,SIGN(H20))*POWER(GEmaster,SIGN(I20))*POWER(KOmaster,SIGN(J20))*POWER(KKmaster,SIGN(K20))+E20*POWER(MUmaster,SIGN(D20))*POWER(INmaster,SIGN(F20))*POWER(CHmaster,SIGN(G20))*POWER(FFmaster,SIGN(H20))*POWER(GEmaster,SIGN(I20))*POWER(KOmaster,SIGN(J20))*POWER(KKmaster,SIGN(K20))+F20*POWER(MUmaster,SIGN(D20))*POWER(KLmaster,SIGN(E20))*POWER(CHmaster,SIGN(G20))*POWER(FFmaster,SIGN(H20))*POWER(GEmaster,SIGN(I20))*POWER(KOmaster,SIGN(J20))*POWER(KKmaster,SIGN(K20))+G20*POWER(MUmaster,SIGN(D20))*POWER(KLmaster,SIGN(E20))*POWER(INmaster,SIGN(F20))*POWER(FFmaster,SIGN(H20))*POWER(GEmaster,SIGN(I20))*POWER(KOmaster,SIGN(J20))*POWER(KKmaster,SIGN(K20))+H20*POWER(MUmaster,SIGN(D20))*POWER(KLmaster,SIGN(E20))*POWER(INmaster,SIGN(F20))*POWER(CHmaster,SIGN(G20))*POWER(GEmaster,SIGN(I20))*POWER(KOmaster,SIGN(J20))*POWER(KKmaster,SIGN(K20))+I20*POWER(MUmaster,SIGN(D20))*POWER(KLmaster,SIGN(E20))*POWER(INmaster,SIGN(F20))*POWER(CHmaster,SIGN(G20))*POWER(FFmaster,SIGN(H20))*POWER(KOmaster,SIGN(J20))*POWER(KKmaster,SIGN(K20))+J20*POWER(MUmaster,SIGN(D20))*POWER(KLmaster,SIGN(E20))*POWER(INmaster,SIGN(F20))*POWER(CHmaster,SIGN(G20))*POWER(FFmaster,SIGN(H20))*POWER(GEmaster,SIGN(I20))*POWER(KKmaster,SIGN(K20))+K20*POWER(MUmaster,SIGN(D20))*POWER(KLmaster,SIGN(E20))*POWER(INmaster,SIGN(F20))*POWER(CHmaster,SIGN(G20))*POWER(FFmaster,SIGN(H20))*POWER(GEmaster,SIGN(I20))*POWER(KOmaster,SIGN(J20))</f>
        <v>3072</v>
      </c>
      <c r="P20" s="11">
        <f>E20*G20*GEmaster+E20*CHmaster*I20+KLmaster*G20*I20</f>
        <v>1526</v>
      </c>
      <c r="Q20" s="22">
        <f t="shared" si="2"/>
        <v>245</v>
      </c>
      <c r="R20" s="20">
        <f t="shared" si="9"/>
        <v>4843</v>
      </c>
      <c r="S20" s="33">
        <f t="shared" si="3"/>
        <v>4.0173446211026222</v>
      </c>
      <c r="T20" s="26">
        <f t="shared" si="4"/>
        <v>3.9911900337256521</v>
      </c>
      <c r="U20" s="34">
        <f t="shared" si="5"/>
        <v>0.96118108610365471</v>
      </c>
      <c r="V20" s="15">
        <f t="shared" si="6"/>
        <v>8.9697157409319281</v>
      </c>
      <c r="W20" s="123">
        <v>0</v>
      </c>
      <c r="X20" s="4">
        <f t="shared" si="7"/>
        <v>8.9697157409319281</v>
      </c>
      <c r="Y20" s="72">
        <f t="shared" si="8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8.9697157409319281</v>
      </c>
      <c r="AC20" s="11"/>
    </row>
    <row r="21" spans="1:29" outlineLevel="1">
      <c r="A21" s="17" t="s">
        <v>21</v>
      </c>
      <c r="B21" s="9" t="s">
        <v>84</v>
      </c>
      <c r="C21" s="68" t="s">
        <v>138</v>
      </c>
      <c r="D21" s="20">
        <f>Konvention_1master-MUmaster</f>
        <v>5</v>
      </c>
      <c r="E21" s="21"/>
      <c r="F21" s="21"/>
      <c r="G21" s="21"/>
      <c r="H21" s="21">
        <f>Konvention_1master-FFmaster</f>
        <v>6</v>
      </c>
      <c r="I21" s="21">
        <f>Konvention_1master-GEmaster</f>
        <v>7</v>
      </c>
      <c r="J21" s="21"/>
      <c r="K21" s="22"/>
      <c r="L21" s="27">
        <f>(D21+E21+F21+G21+H21+I21+J21+K21)/3</f>
        <v>6</v>
      </c>
      <c r="M21" s="27">
        <f t="shared" si="0"/>
        <v>12</v>
      </c>
      <c r="N21" s="32">
        <f t="shared" si="1"/>
        <v>18</v>
      </c>
      <c r="O21" s="11">
        <f>D21*POWER(KLmaster,SIGN(E21))*POWER(INmaster,SIGN(F21))*POWER(CHmaster,SIGN(G21))*POWER(FFmaster,SIGN(H21))*POWER(GEmaster,SIGN(I21))*POWER(KOmaster,SIGN(J21))*POWER(KKmaster,SIGN(K21))+E21*POWER(MUmaster,SIGN(D21))*POWER(INmaster,SIGN(F21))*POWER(CHmaster,SIGN(G21))*POWER(FFmaster,SIGN(H21))*POWER(GEmaster,SIGN(I21))*POWER(KOmaster,SIGN(J21))*POWER(KKmaster,SIGN(K21))+F21*POWER(MUmaster,SIGN(D21))*POWER(KLmaster,SIGN(E21))*POWER(CHmaster,SIGN(G21))*POWER(FFmaster,SIGN(H21))*POWER(GEmaster,SIGN(I21))*POWER(KOmaster,SIGN(J21))*POWER(KKmaster,SIGN(K21))+G21*POWER(MUmaster,SIGN(D21))*POWER(KLmaster,SIGN(E21))*POWER(INmaster,SIGN(F21))*POWER(FFmaster,SIGN(H21))*POWER(GEmaster,SIGN(I21))*POWER(KOmaster,SIGN(J21))*POWER(KKmaster,SIGN(K21))+H21*POWER(MUmaster,SIGN(D21))*POWER(KLmaster,SIGN(E21))*POWER(INmaster,SIGN(F21))*POWER(CHmaster,SIGN(G21))*POWER(GEmaster,SIGN(I21))*POWER(KOmaster,SIGN(J21))*POWER(KKmaster,SIGN(K21))+I21*POWER(MUmaster,SIGN(D21))*POWER(KLmaster,SIGN(E21))*POWER(INmaster,SIGN(F21))*POWER(CHmaster,SIGN(G21))*POWER(FFmaster,SIGN(H21))*POWER(KOmaster,SIGN(J21))*POWER(KKmaster,SIGN(K21))+J21*POWER(MUmaster,SIGN(D21))*POWER(KLmaster,SIGN(E21))*POWER(INmaster,SIGN(F21))*POWER(CHmaster,SIGN(G21))*POWER(FFmaster,SIGN(H21))*POWER(GEmaster,SIGN(I21))*POWER(KKmaster,SIGN(K21))+K21*POWER(MUmaster,SIGN(D21))*POWER(KLmaster,SIGN(E21))*POWER(INmaster,SIGN(F21))*POWER(CHmaster,SIGN(G21))*POWER(FFmaster,SIGN(H21))*POWER(GEmaster,SIGN(I21))*POWER(KOmaster,SIGN(J21))</f>
        <v>3062</v>
      </c>
      <c r="P21" s="11">
        <f>D21*H21*GEmaster+D21*FFmaster*I21+MUmaster*H21*I21</f>
        <v>1403</v>
      </c>
      <c r="Q21" s="22">
        <f t="shared" si="2"/>
        <v>210</v>
      </c>
      <c r="R21" s="20">
        <f t="shared" si="9"/>
        <v>4675</v>
      </c>
      <c r="S21" s="33">
        <f t="shared" si="3"/>
        <v>3.9298395721925132</v>
      </c>
      <c r="T21" s="26">
        <f t="shared" si="4"/>
        <v>3.6012834224598929</v>
      </c>
      <c r="U21" s="34">
        <f t="shared" si="5"/>
        <v>0.80855614973262036</v>
      </c>
      <c r="V21" s="15">
        <f t="shared" si="6"/>
        <v>8.3396791443850269</v>
      </c>
      <c r="W21" s="123">
        <v>0</v>
      </c>
      <c r="X21" s="4">
        <f t="shared" si="7"/>
        <v>8.3396791443850269</v>
      </c>
      <c r="Y21" s="72">
        <f t="shared" si="8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16.679358288770054</v>
      </c>
      <c r="AC21" s="11"/>
    </row>
    <row r="22" spans="1:29" outlineLevel="1">
      <c r="A22" s="17" t="s">
        <v>22</v>
      </c>
      <c r="B22" s="9" t="s">
        <v>9</v>
      </c>
      <c r="C22" s="68" t="s">
        <v>141</v>
      </c>
      <c r="D22" s="20">
        <f>Konvention_1master-MUmaster</f>
        <v>5</v>
      </c>
      <c r="E22" s="21"/>
      <c r="F22" s="21">
        <f>Konvention_1master-INmaster</f>
        <v>5</v>
      </c>
      <c r="G22" s="21"/>
      <c r="H22" s="21"/>
      <c r="I22" s="21">
        <f>Konvention_1master-GEmaster</f>
        <v>7</v>
      </c>
      <c r="J22" s="21"/>
      <c r="K22" s="22"/>
      <c r="L22" s="27">
        <f>(D22+E22+F22+G22+H22+I22+J22+K22)/3</f>
        <v>5.666666666666667</v>
      </c>
      <c r="M22" s="27">
        <f t="shared" si="0"/>
        <v>11.333333333333334</v>
      </c>
      <c r="N22" s="32">
        <f t="shared" si="1"/>
        <v>17</v>
      </c>
      <c r="O22" s="11">
        <f>D22*POWER(KLmaster,SIGN(E22))*POWER(INmaster,SIGN(F22))*POWER(CHmaster,SIGN(G22))*POWER(FFmaster,SIGN(H22))*POWER(GEmaster,SIGN(I22))*POWER(KOmaster,SIGN(J22))*POWER(KKmaster,SIGN(K22))+E22*POWER(MUmaster,SIGN(D22))*POWER(INmaster,SIGN(F22))*POWER(CHmaster,SIGN(G22))*POWER(FFmaster,SIGN(H22))*POWER(GEmaster,SIGN(I22))*POWER(KOmaster,SIGN(J22))*POWER(KKmaster,SIGN(K22))+F22*POWER(MUmaster,SIGN(D22))*POWER(KLmaster,SIGN(E22))*POWER(CHmaster,SIGN(G22))*POWER(FFmaster,SIGN(H22))*POWER(GEmaster,SIGN(I22))*POWER(KOmaster,SIGN(J22))*POWER(KKmaster,SIGN(K22))+G22*POWER(MUmaster,SIGN(D22))*POWER(KLmaster,SIGN(E22))*POWER(INmaster,SIGN(F22))*POWER(FFmaster,SIGN(H22))*POWER(GEmaster,SIGN(I22))*POWER(KOmaster,SIGN(J22))*POWER(KKmaster,SIGN(K22))+H22*POWER(MUmaster,SIGN(D22))*POWER(KLmaster,SIGN(E22))*POWER(INmaster,SIGN(F22))*POWER(CHmaster,SIGN(G22))*POWER(GEmaster,SIGN(I22))*POWER(KOmaster,SIGN(J22))*POWER(KKmaster,SIGN(K22))+I22*POWER(MUmaster,SIGN(D22))*POWER(KLmaster,SIGN(E22))*POWER(INmaster,SIGN(F22))*POWER(CHmaster,SIGN(G22))*POWER(FFmaster,SIGN(H22))*POWER(KOmaster,SIGN(J22))*POWER(KKmaster,SIGN(K22))+J22*POWER(MUmaster,SIGN(D22))*POWER(KLmaster,SIGN(E22))*POWER(INmaster,SIGN(F22))*POWER(CHmaster,SIGN(G22))*POWER(FFmaster,SIGN(H22))*POWER(GEmaster,SIGN(I22))*POWER(KKmaster,SIGN(K22))+K22*POWER(MUmaster,SIGN(D22))*POWER(KLmaster,SIGN(E22))*POWER(INmaster,SIGN(F22))*POWER(CHmaster,SIGN(G22))*POWER(FFmaster,SIGN(H22))*POWER(GEmaster,SIGN(I22))*POWER(KOmaster,SIGN(J22))</f>
        <v>3052</v>
      </c>
      <c r="P22" s="11">
        <f>D22*F22*GEmaster+D22*INmaster*I22+MUmaster*F22*I22</f>
        <v>1280</v>
      </c>
      <c r="Q22" s="22">
        <f t="shared" si="2"/>
        <v>175</v>
      </c>
      <c r="R22" s="20">
        <f t="shared" si="9"/>
        <v>4507</v>
      </c>
      <c r="S22" s="33">
        <f t="shared" si="3"/>
        <v>3.8372901412617413</v>
      </c>
      <c r="T22" s="26">
        <f t="shared" si="4"/>
        <v>3.2186968419495603</v>
      </c>
      <c r="U22" s="34">
        <f t="shared" si="5"/>
        <v>0.66008431329043715</v>
      </c>
      <c r="V22" s="15">
        <f t="shared" si="6"/>
        <v>7.7160712965017391</v>
      </c>
      <c r="W22" s="123">
        <v>0</v>
      </c>
      <c r="X22" s="4">
        <f t="shared" si="7"/>
        <v>7.7160712965017391</v>
      </c>
      <c r="Y22" s="72">
        <f t="shared" si="8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23.148213889505218</v>
      </c>
      <c r="AC22" s="11"/>
    </row>
    <row r="23" spans="1:29" ht="15.75" outlineLevel="1" thickBot="1">
      <c r="A23" s="35" t="s">
        <v>23</v>
      </c>
      <c r="B23" s="10" t="s">
        <v>85</v>
      </c>
      <c r="C23" s="59" t="s">
        <v>139</v>
      </c>
      <c r="D23" s="24"/>
      <c r="E23" s="19">
        <f>Konvention_1master-KLmaster</f>
        <v>5</v>
      </c>
      <c r="F23" s="19"/>
      <c r="G23" s="19"/>
      <c r="H23" s="19"/>
      <c r="I23" s="19"/>
      <c r="J23" s="19">
        <f>Konvention_1master-KOmaster</f>
        <v>6</v>
      </c>
      <c r="K23" s="23">
        <f>Konvention_1master-KKmaster</f>
        <v>11</v>
      </c>
      <c r="L23" s="25">
        <f>(D23+E23+F23+G23+H23+I23+J23+K23)/3</f>
        <v>7.333333333333333</v>
      </c>
      <c r="M23" s="25">
        <f t="shared" si="0"/>
        <v>14.666666666666666</v>
      </c>
      <c r="N23" s="36">
        <f t="shared" si="1"/>
        <v>22</v>
      </c>
      <c r="O23" s="19">
        <f>D23*POWER(KLmaster,SIGN(E23))*POWER(INmaster,SIGN(F23))*POWER(CHmaster,SIGN(G23))*POWER(FFmaster,SIGN(H23))*POWER(GEmaster,SIGN(I23))*POWER(KOmaster,SIGN(J23))*POWER(KKmaster,SIGN(K23))+E23*POWER(MUmaster,SIGN(D23))*POWER(INmaster,SIGN(F23))*POWER(CHmaster,SIGN(G23))*POWER(FFmaster,SIGN(H23))*POWER(GEmaster,SIGN(I23))*POWER(KOmaster,SIGN(J23))*POWER(KKmaster,SIGN(K23))+F23*POWER(MUmaster,SIGN(D23))*POWER(KLmaster,SIGN(E23))*POWER(CHmaster,SIGN(G23))*POWER(FFmaster,SIGN(H23))*POWER(GEmaster,SIGN(I23))*POWER(KOmaster,SIGN(J23))*POWER(KKmaster,SIGN(K23))+G23*POWER(MUmaster,SIGN(D23))*POWER(KLmaster,SIGN(E23))*POWER(INmaster,SIGN(F23))*POWER(FFmaster,SIGN(H23))*POWER(GEmaster,SIGN(I23))*POWER(KOmaster,SIGN(J23))*POWER(KKmaster,SIGN(K23))+H23*POWER(MUmaster,SIGN(D23))*POWER(KLmaster,SIGN(E23))*POWER(INmaster,SIGN(F23))*POWER(CHmaster,SIGN(G23))*POWER(GEmaster,SIGN(I23))*POWER(KOmaster,SIGN(J23))*POWER(KKmaster,SIGN(K23))+I23*POWER(MUmaster,SIGN(D23))*POWER(KLmaster,SIGN(E23))*POWER(INmaster,SIGN(F23))*POWER(CHmaster,SIGN(G23))*POWER(FFmaster,SIGN(H23))*POWER(KOmaster,SIGN(J23))*POWER(KKmaster,SIGN(K23))+J23*POWER(MUmaster,SIGN(D23))*POWER(KLmaster,SIGN(E23))*POWER(INmaster,SIGN(F23))*POWER(CHmaster,SIGN(G23))*POWER(FFmaster,SIGN(H23))*POWER(GEmaster,SIGN(I23))*POWER(KKmaster,SIGN(K23))+K23*POWER(MUmaster,SIGN(D23))*POWER(KLmaster,SIGN(E23))*POWER(INmaster,SIGN(F23))*POWER(CHmaster,SIGN(G23))*POWER(FFmaster,SIGN(H23))*POWER(GEmaster,SIGN(I23))*POWER(KOmaster,SIGN(J23))</f>
        <v>3194</v>
      </c>
      <c r="P23" s="19">
        <f>E23*J23*KKmaster+E23*KOmaster*K23+KLmaster*J23*K23</f>
        <v>1879</v>
      </c>
      <c r="Q23" s="23">
        <f t="shared" si="2"/>
        <v>330</v>
      </c>
      <c r="R23" s="24">
        <f>SUM(O23:Q23)</f>
        <v>5403</v>
      </c>
      <c r="S23" s="37">
        <f t="shared" si="3"/>
        <v>4.3351224628292915</v>
      </c>
      <c r="T23" s="25">
        <f t="shared" si="4"/>
        <v>5.1006231106175575</v>
      </c>
      <c r="U23" s="38">
        <f t="shared" si="5"/>
        <v>1.3436979455857856</v>
      </c>
      <c r="V23" s="77">
        <f t="shared" si="6"/>
        <v>10.779443519032634</v>
      </c>
      <c r="W23" s="123">
        <v>0</v>
      </c>
      <c r="X23" s="5">
        <f t="shared" si="7"/>
        <v>10.779443519032634</v>
      </c>
      <c r="Y23" s="73">
        <f t="shared" si="8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10.779443519032634</v>
      </c>
      <c r="AC23" s="11"/>
    </row>
    <row r="24" spans="1:29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C24" s="11"/>
    </row>
    <row r="25" spans="1:29" outlineLevel="1">
      <c r="A25" s="17" t="s">
        <v>24</v>
      </c>
      <c r="B25" s="8" t="s">
        <v>86</v>
      </c>
      <c r="C25" s="64" t="s">
        <v>138</v>
      </c>
      <c r="D25" s="60">
        <f>Konvention_1master-MUmaster</f>
        <v>5</v>
      </c>
      <c r="E25" s="61">
        <f>Konvention_1master-KLmaster</f>
        <v>5</v>
      </c>
      <c r="F25" s="61"/>
      <c r="G25" s="61">
        <f t="shared" ref="G25:G33" si="10">Konvention_1master-CHmaster</f>
        <v>7</v>
      </c>
      <c r="H25" s="61"/>
      <c r="I25" s="61"/>
      <c r="J25" s="61"/>
      <c r="K25" s="62"/>
      <c r="L25" s="27">
        <f>(D25+E25+F25+G25+H25+I25+J25+K25)/3</f>
        <v>5.666666666666667</v>
      </c>
      <c r="M25" s="27">
        <f t="shared" si="0"/>
        <v>11.333333333333334</v>
      </c>
      <c r="N25" s="28">
        <f t="shared" si="1"/>
        <v>17</v>
      </c>
      <c r="O25" s="11">
        <f>D25*POWER(KLmaster,SIGN(E25))*POWER(INmaster,SIGN(F25))*POWER(CHmaster,SIGN(G25))*POWER(FFmaster,SIGN(H25))*POWER(GEmaster,SIGN(I25))*POWER(KOmaster,SIGN(J25))*POWER(KKmaster,SIGN(K25))+E25*POWER(MUmaster,SIGN(D25))*POWER(INmaster,SIGN(F25))*POWER(CHmaster,SIGN(G25))*POWER(FFmaster,SIGN(H25))*POWER(GEmaster,SIGN(I25))*POWER(KOmaster,SIGN(J25))*POWER(KKmaster,SIGN(K25))+F25*POWER(MUmaster,SIGN(D25))*POWER(KLmaster,SIGN(E25))*POWER(CHmaster,SIGN(G25))*POWER(FFmaster,SIGN(H25))*POWER(GEmaster,SIGN(I25))*POWER(KOmaster,SIGN(J25))*POWER(KKmaster,SIGN(K25))+G25*POWER(MUmaster,SIGN(D25))*POWER(KLmaster,SIGN(E25))*POWER(INmaster,SIGN(F25))*POWER(FFmaster,SIGN(H25))*POWER(GEmaster,SIGN(I25))*POWER(KOmaster,SIGN(J25))*POWER(KKmaster,SIGN(K25))+H25*POWER(MUmaster,SIGN(D25))*POWER(KLmaster,SIGN(E25))*POWER(INmaster,SIGN(F25))*POWER(CHmaster,SIGN(G25))*POWER(GEmaster,SIGN(I25))*POWER(KOmaster,SIGN(J25))*POWER(KKmaster,SIGN(K25))+I25*POWER(MUmaster,SIGN(D25))*POWER(KLmaster,SIGN(E25))*POWER(INmaster,SIGN(F25))*POWER(CHmaster,SIGN(G25))*POWER(FFmaster,SIGN(H25))*POWER(KOmaster,SIGN(J25))*POWER(KKmaster,SIGN(K25))+J25*POWER(MUmaster,SIGN(D25))*POWER(KLmaster,SIGN(E25))*POWER(INmaster,SIGN(F25))*POWER(CHmaster,SIGN(G25))*POWER(FFmaster,SIGN(H25))*POWER(GEmaster,SIGN(I25))*POWER(KKmaster,SIGN(K25))+K25*POWER(MUmaster,SIGN(D25))*POWER(KLmaster,SIGN(E25))*POWER(INmaster,SIGN(F25))*POWER(CHmaster,SIGN(G25))*POWER(FFmaster,SIGN(H25))*POWER(GEmaster,SIGN(I25))*POWER(KOmaster,SIGN(J25))</f>
        <v>3052</v>
      </c>
      <c r="P25" s="11">
        <f>D25*E25*CHmaster+D25*KLmaster*G25+MUmaster*E25*G25</f>
        <v>1280</v>
      </c>
      <c r="Q25" s="62">
        <f t="shared" si="2"/>
        <v>175</v>
      </c>
      <c r="R25" s="60">
        <f>SUM(O25:Q25)</f>
        <v>4507</v>
      </c>
      <c r="S25" s="29">
        <f t="shared" si="3"/>
        <v>3.8372901412617413</v>
      </c>
      <c r="T25" s="30">
        <f t="shared" si="4"/>
        <v>3.2186968419495603</v>
      </c>
      <c r="U25" s="31">
        <f t="shared" si="5"/>
        <v>0.66008431329043715</v>
      </c>
      <c r="V25" s="78">
        <f t="shared" si="6"/>
        <v>7.7160712965017391</v>
      </c>
      <c r="W25" s="123">
        <v>0</v>
      </c>
      <c r="X25" s="3">
        <f t="shared" si="7"/>
        <v>7.7160712965017391</v>
      </c>
      <c r="Y25" s="71">
        <f t="shared" si="8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15.432142593003478</v>
      </c>
      <c r="AC25" s="11"/>
    </row>
    <row r="26" spans="1:29" outlineLevel="1">
      <c r="A26" s="17" t="s">
        <v>25</v>
      </c>
      <c r="B26" s="9" t="s">
        <v>87</v>
      </c>
      <c r="C26" s="68" t="s">
        <v>138</v>
      </c>
      <c r="D26" s="20">
        <f>Konvention_1master-MUmaster</f>
        <v>5</v>
      </c>
      <c r="E26" s="21"/>
      <c r="F26" s="21"/>
      <c r="G26" s="21">
        <f t="shared" si="10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0"/>
        <v>12.666666666666666</v>
      </c>
      <c r="N26" s="32">
        <f t="shared" si="1"/>
        <v>19</v>
      </c>
      <c r="O26" s="11">
        <f>G26*POWER(MUmaster,SIGN(D26))*POWER(KLmaster,SIGN(E26))*POWER(INmaster,SIGN(F26))*POWER(CHmaster,SIGN(G26))*POWER(FFmaster,SIGN(H26))*POWER(GEmaster,SIGN(I26))*POWER(KOmaster,SIGN(J26))*POWER(KKmaster,SIGN(K26))+G26*POWER(MUmaster,SIGN(D26))*POWER(KLmaster,SIGN(E26))*POWER(INmaster,SIGN(F26))*POWER(CHmaster,SIGN(G26))*POWER(FFmaster,SIGN(H26))*POWER(GEmaster,SIGN(I26))*POWER(KOmaster,SIGN(J26))*POWER(KKmaster,SIGN(K26))+D26*POWER(MUmaster,SIGN(D26))*POWER(KLmaster,SIGN(E26))*POWER(INmaster,SIGN(F26))*POWER(CHmaster,SIGN(G26))*POWER(FFmaster,SIGN(H26))*POWER(GEmaster,SIGN(I26)) *POWER(KKmaster,SIGN(K26))*POWER(CHmaster,SIGN(G26))/ POWER(MUmaster,SIGN(D26))</f>
        <v>3072</v>
      </c>
      <c r="P26" s="11">
        <f>D26*G26*CHmaster+D26*CHmaster*G26+MUmaster*G26*G26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1">SUM(O26:Q26)</f>
        <v>4843</v>
      </c>
      <c r="S26" s="33">
        <f t="shared" si="3"/>
        <v>4.0173446211026222</v>
      </c>
      <c r="T26" s="26">
        <f t="shared" si="4"/>
        <v>3.9911900337256521</v>
      </c>
      <c r="U26" s="34">
        <f t="shared" si="5"/>
        <v>0.96118108610365471</v>
      </c>
      <c r="V26" s="79">
        <f t="shared" si="6"/>
        <v>8.9697157409319281</v>
      </c>
      <c r="W26" s="123">
        <v>0</v>
      </c>
      <c r="X26" s="4">
        <f t="shared" si="7"/>
        <v>8.9697157409319281</v>
      </c>
      <c r="Y26" s="72">
        <f t="shared" si="8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C26" s="11"/>
    </row>
    <row r="27" spans="1:29" outlineLevel="1">
      <c r="A27" s="17" t="s">
        <v>26</v>
      </c>
      <c r="B27" s="9" t="s">
        <v>88</v>
      </c>
      <c r="C27" s="68" t="s">
        <v>138</v>
      </c>
      <c r="D27" s="20">
        <f>Konvention_1master-MUmaster</f>
        <v>5</v>
      </c>
      <c r="E27" s="21"/>
      <c r="F27" s="21">
        <f t="shared" ref="F27:F33" si="12">Konvention_1master-INmaster</f>
        <v>5</v>
      </c>
      <c r="G27" s="21">
        <f t="shared" si="10"/>
        <v>7</v>
      </c>
      <c r="H27" s="21"/>
      <c r="I27" s="21"/>
      <c r="J27" s="21"/>
      <c r="K27" s="22"/>
      <c r="L27" s="27">
        <f t="shared" ref="L27:L33" si="13">(D27+E27+F27+G27+H27+I27+J27+K27)/3</f>
        <v>5.666666666666667</v>
      </c>
      <c r="M27" s="27">
        <f t="shared" si="0"/>
        <v>11.333333333333334</v>
      </c>
      <c r="N27" s="32">
        <f t="shared" si="1"/>
        <v>17</v>
      </c>
      <c r="O27" s="11">
        <f t="shared" ref="O27:O33" si="14">D27*POWER(KLmaster,SIGN(E27))*POWER(INmaster,SIGN(F27))*POWER(CHmaster,SIGN(G27))*POWER(FFmaster,SIGN(H27))*POWER(GEmaster,SIGN(I27))*POWER(KOmaster,SIGN(J27))*POWER(KKmaster,SIGN(K27))+E27*POWER(MUmaster,SIGN(D27))*POWER(INmaster,SIGN(F27))*POWER(CHmaster,SIGN(G27))*POWER(FFmaster,SIGN(H27))*POWER(GEmaster,SIGN(I27))*POWER(KOmaster,SIGN(J27))*POWER(KKmaster,SIGN(K27))+F27*POWER(MUmaster,SIGN(D27))*POWER(KLmaster,SIGN(E27))*POWER(CHmaster,SIGN(G27))*POWER(FFmaster,SIGN(H27))*POWER(GEmaster,SIGN(I27))*POWER(KOmaster,SIGN(J27))*POWER(KKmaster,SIGN(K27))+G27*POWER(MUmaster,SIGN(D27))*POWER(KLmaster,SIGN(E27))*POWER(INmaster,SIGN(F27))*POWER(FFmaster,SIGN(H27))*POWER(GEmaster,SIGN(I27))*POWER(KOmaster,SIGN(J27))*POWER(KKmaster,SIGN(K27))+H27*POWER(MUmaster,SIGN(D27))*POWER(KLmaster,SIGN(E27))*POWER(INmaster,SIGN(F27))*POWER(CHmaster,SIGN(G27))*POWER(GEmaster,SIGN(I27))*POWER(KOmaster,SIGN(J27))*POWER(KKmaster,SIGN(K27))+I27*POWER(MUmaster,SIGN(D27))*POWER(KLmaster,SIGN(E27))*POWER(INmaster,SIGN(F27))*POWER(CHmaster,SIGN(G27))*POWER(FFmaster,SIGN(H27))*POWER(KOmaster,SIGN(J27))*POWER(KKmaster,SIGN(K27))+J27*POWER(MUmaster,SIGN(D27))*POWER(KLmaster,SIGN(E27))*POWER(INmaster,SIGN(F27))*POWER(CHmaster,SIGN(G27))*POWER(FFmaster,SIGN(H27))*POWER(GEmaster,SIGN(I27))*POWER(KKmaster,SIGN(K27))+K27*POWER(MUmaster,SIGN(D27))*POWER(KLmaster,SIGN(E27))*POWER(INmaster,SIGN(F27))*POWER(CHmaster,SIGN(G27))*POWER(FFmaster,SIGN(H27))*POWER(GEmaster,SIGN(I27))*POWER(KOmaster,SIGN(J27))</f>
        <v>3052</v>
      </c>
      <c r="P27" s="11">
        <f>D27*F27*CHmaster+D27*INmaster*G27+MUmaster*F27*G27</f>
        <v>1280</v>
      </c>
      <c r="Q27" s="22">
        <f t="shared" si="2"/>
        <v>175</v>
      </c>
      <c r="R27" s="20">
        <f t="shared" si="11"/>
        <v>4507</v>
      </c>
      <c r="S27" s="33">
        <f t="shared" si="3"/>
        <v>3.8372901412617413</v>
      </c>
      <c r="T27" s="26">
        <f t="shared" si="4"/>
        <v>3.2186968419495603</v>
      </c>
      <c r="U27" s="34">
        <f t="shared" si="5"/>
        <v>0.66008431329043715</v>
      </c>
      <c r="V27" s="79">
        <f t="shared" si="6"/>
        <v>7.7160712965017391</v>
      </c>
      <c r="W27" s="123">
        <v>0</v>
      </c>
      <c r="X27" s="4">
        <f t="shared" si="7"/>
        <v>7.7160712965017391</v>
      </c>
      <c r="Y27" s="72">
        <f t="shared" si="8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15.432142593003478</v>
      </c>
      <c r="AC27" s="11"/>
    </row>
    <row r="28" spans="1:29" outlineLevel="1">
      <c r="A28" s="17" t="s">
        <v>27</v>
      </c>
      <c r="B28" s="9" t="s">
        <v>89</v>
      </c>
      <c r="C28" s="68" t="s">
        <v>138</v>
      </c>
      <c r="D28" s="20"/>
      <c r="E28" s="21">
        <f>Konvention_1master-KLmaster</f>
        <v>5</v>
      </c>
      <c r="F28" s="21">
        <f t="shared" si="12"/>
        <v>5</v>
      </c>
      <c r="G28" s="21">
        <f t="shared" si="10"/>
        <v>7</v>
      </c>
      <c r="H28" s="21"/>
      <c r="I28" s="21"/>
      <c r="J28" s="21"/>
      <c r="K28" s="22"/>
      <c r="L28" s="27">
        <f t="shared" si="13"/>
        <v>5.666666666666667</v>
      </c>
      <c r="M28" s="27">
        <f t="shared" si="0"/>
        <v>11.333333333333334</v>
      </c>
      <c r="N28" s="32">
        <f t="shared" si="1"/>
        <v>17</v>
      </c>
      <c r="O28" s="11">
        <f t="shared" si="14"/>
        <v>3052</v>
      </c>
      <c r="P28" s="11">
        <f>E28*F28*CHmaster+E28*INmaster*G28+KLmaster*F28*G28</f>
        <v>1280</v>
      </c>
      <c r="Q28" s="22">
        <f t="shared" si="2"/>
        <v>175</v>
      </c>
      <c r="R28" s="20">
        <f t="shared" si="11"/>
        <v>4507</v>
      </c>
      <c r="S28" s="33">
        <f t="shared" si="3"/>
        <v>3.8372901412617413</v>
      </c>
      <c r="T28" s="26">
        <f t="shared" si="4"/>
        <v>3.2186968419495603</v>
      </c>
      <c r="U28" s="34">
        <f t="shared" si="5"/>
        <v>0.66008431329043715</v>
      </c>
      <c r="V28" s="79">
        <f t="shared" si="6"/>
        <v>7.7160712965017391</v>
      </c>
      <c r="W28" s="123">
        <v>0</v>
      </c>
      <c r="X28" s="4">
        <f t="shared" si="7"/>
        <v>7.7160712965017391</v>
      </c>
      <c r="Y28" s="72">
        <f t="shared" si="8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15.432142593003478</v>
      </c>
      <c r="AC28" s="11"/>
    </row>
    <row r="29" spans="1:29" outlineLevel="1">
      <c r="A29" s="17" t="s">
        <v>28</v>
      </c>
      <c r="B29" s="9" t="s">
        <v>89</v>
      </c>
      <c r="C29" s="68" t="s">
        <v>141</v>
      </c>
      <c r="D29" s="20"/>
      <c r="E29" s="21">
        <f>Konvention_1master-KLmaster</f>
        <v>5</v>
      </c>
      <c r="F29" s="21">
        <f t="shared" si="12"/>
        <v>5</v>
      </c>
      <c r="G29" s="21">
        <f t="shared" si="10"/>
        <v>7</v>
      </c>
      <c r="H29" s="21"/>
      <c r="I29" s="21"/>
      <c r="J29" s="21"/>
      <c r="K29" s="22"/>
      <c r="L29" s="27">
        <f t="shared" si="13"/>
        <v>5.666666666666667</v>
      </c>
      <c r="M29" s="27">
        <f t="shared" si="0"/>
        <v>11.333333333333334</v>
      </c>
      <c r="N29" s="32">
        <f t="shared" si="1"/>
        <v>17</v>
      </c>
      <c r="O29" s="11">
        <f t="shared" si="14"/>
        <v>3052</v>
      </c>
      <c r="P29" s="11">
        <f>E29*F29*CHmaster+E29*INmaster*G29+KLmaster*F29*G29</f>
        <v>1280</v>
      </c>
      <c r="Q29" s="22">
        <f t="shared" si="2"/>
        <v>175</v>
      </c>
      <c r="R29" s="20">
        <f t="shared" si="11"/>
        <v>4507</v>
      </c>
      <c r="S29" s="33">
        <f t="shared" si="3"/>
        <v>3.8372901412617413</v>
      </c>
      <c r="T29" s="26">
        <f t="shared" si="4"/>
        <v>3.2186968419495603</v>
      </c>
      <c r="U29" s="34">
        <f t="shared" si="5"/>
        <v>0.66008431329043715</v>
      </c>
      <c r="V29" s="79">
        <f t="shared" si="6"/>
        <v>7.7160712965017391</v>
      </c>
      <c r="W29" s="123">
        <v>0</v>
      </c>
      <c r="X29" s="4">
        <f t="shared" si="7"/>
        <v>7.7160712965017391</v>
      </c>
      <c r="Y29" s="72">
        <f t="shared" si="8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23.148213889505218</v>
      </c>
      <c r="AC29" s="11"/>
    </row>
    <row r="30" spans="1:29" outlineLevel="1">
      <c r="A30" s="17" t="s">
        <v>29</v>
      </c>
      <c r="B30" s="9" t="s">
        <v>89</v>
      </c>
      <c r="C30" s="68" t="s">
        <v>141</v>
      </c>
      <c r="D30" s="20"/>
      <c r="E30" s="21">
        <f>Konvention_1master-KLmaster</f>
        <v>5</v>
      </c>
      <c r="F30" s="21">
        <f t="shared" si="12"/>
        <v>5</v>
      </c>
      <c r="G30" s="21">
        <f t="shared" si="10"/>
        <v>7</v>
      </c>
      <c r="H30" s="21"/>
      <c r="I30" s="21"/>
      <c r="J30" s="21"/>
      <c r="K30" s="22"/>
      <c r="L30" s="27">
        <f t="shared" si="13"/>
        <v>5.666666666666667</v>
      </c>
      <c r="M30" s="27">
        <f t="shared" si="0"/>
        <v>11.333333333333334</v>
      </c>
      <c r="N30" s="32">
        <f t="shared" si="1"/>
        <v>17</v>
      </c>
      <c r="O30" s="11">
        <f t="shared" si="14"/>
        <v>3052</v>
      </c>
      <c r="P30" s="11">
        <f>E30*F30*CHmaster+E30*INmaster*G30+KLmaster*F30*G30</f>
        <v>1280</v>
      </c>
      <c r="Q30" s="22">
        <f t="shared" si="2"/>
        <v>175</v>
      </c>
      <c r="R30" s="20">
        <f t="shared" si="11"/>
        <v>4507</v>
      </c>
      <c r="S30" s="33">
        <f t="shared" si="3"/>
        <v>3.8372901412617413</v>
      </c>
      <c r="T30" s="26">
        <f t="shared" si="4"/>
        <v>3.2186968419495603</v>
      </c>
      <c r="U30" s="34">
        <f t="shared" si="5"/>
        <v>0.66008431329043715</v>
      </c>
      <c r="V30" s="79">
        <f t="shared" si="6"/>
        <v>7.7160712965017391</v>
      </c>
      <c r="W30" s="123">
        <v>0</v>
      </c>
      <c r="X30" s="4">
        <f t="shared" si="7"/>
        <v>7.7160712965017391</v>
      </c>
      <c r="Y30" s="72">
        <f t="shared" si="8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23.148213889505218</v>
      </c>
      <c r="AC30" s="11"/>
    </row>
    <row r="31" spans="1:29" outlineLevel="1">
      <c r="A31" s="17" t="s">
        <v>30</v>
      </c>
      <c r="B31" s="9" t="s">
        <v>88</v>
      </c>
      <c r="C31" s="68" t="s">
        <v>141</v>
      </c>
      <c r="D31" s="20">
        <f>Konvention_1master-MUmaster</f>
        <v>5</v>
      </c>
      <c r="E31" s="21"/>
      <c r="F31" s="21">
        <f t="shared" si="12"/>
        <v>5</v>
      </c>
      <c r="G31" s="21">
        <f t="shared" si="10"/>
        <v>7</v>
      </c>
      <c r="H31" s="21"/>
      <c r="I31" s="21"/>
      <c r="J31" s="21"/>
      <c r="K31" s="22"/>
      <c r="L31" s="27">
        <f t="shared" si="13"/>
        <v>5.666666666666667</v>
      </c>
      <c r="M31" s="27">
        <f t="shared" si="0"/>
        <v>11.333333333333334</v>
      </c>
      <c r="N31" s="32">
        <f t="shared" si="1"/>
        <v>17</v>
      </c>
      <c r="O31" s="11">
        <f t="shared" si="14"/>
        <v>3052</v>
      </c>
      <c r="P31" s="11">
        <f>D31*F31*CHmaster+D31*INmaster*G31+MUmaster*F31*G31</f>
        <v>1280</v>
      </c>
      <c r="Q31" s="22">
        <f t="shared" si="2"/>
        <v>175</v>
      </c>
      <c r="R31" s="20">
        <f t="shared" si="11"/>
        <v>4507</v>
      </c>
      <c r="S31" s="33">
        <f t="shared" si="3"/>
        <v>3.8372901412617413</v>
      </c>
      <c r="T31" s="26">
        <f t="shared" si="4"/>
        <v>3.2186968419495603</v>
      </c>
      <c r="U31" s="34">
        <f t="shared" si="5"/>
        <v>0.66008431329043715</v>
      </c>
      <c r="V31" s="79">
        <f t="shared" si="6"/>
        <v>7.7160712965017391</v>
      </c>
      <c r="W31" s="123">
        <v>0</v>
      </c>
      <c r="X31" s="4">
        <f t="shared" si="7"/>
        <v>7.7160712965017391</v>
      </c>
      <c r="Y31" s="72">
        <f t="shared" si="8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23.148213889505218</v>
      </c>
      <c r="AC31" s="11"/>
    </row>
    <row r="32" spans="1:29" outlineLevel="1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2"/>
        <v>5</v>
      </c>
      <c r="G32" s="21">
        <f t="shared" si="10"/>
        <v>7</v>
      </c>
      <c r="H32" s="21"/>
      <c r="I32" s="21">
        <f>Konvention_1master-GEmaster</f>
        <v>7</v>
      </c>
      <c r="J32" s="21"/>
      <c r="K32" s="22"/>
      <c r="L32" s="27">
        <f t="shared" si="13"/>
        <v>6.333333333333333</v>
      </c>
      <c r="M32" s="27">
        <f t="shared" si="0"/>
        <v>12.666666666666666</v>
      </c>
      <c r="N32" s="32">
        <f t="shared" si="1"/>
        <v>19</v>
      </c>
      <c r="O32" s="11">
        <f t="shared" si="14"/>
        <v>3072</v>
      </c>
      <c r="P32" s="11">
        <f>F32*G32*GEmaster+F32*CHmaster*I32+INmaster*G32*I32</f>
        <v>1526</v>
      </c>
      <c r="Q32" s="22">
        <f t="shared" si="2"/>
        <v>245</v>
      </c>
      <c r="R32" s="20">
        <f t="shared" si="11"/>
        <v>4843</v>
      </c>
      <c r="S32" s="33">
        <f t="shared" si="3"/>
        <v>4.0173446211026222</v>
      </c>
      <c r="T32" s="26">
        <f t="shared" si="4"/>
        <v>3.9911900337256521</v>
      </c>
      <c r="U32" s="34">
        <f t="shared" si="5"/>
        <v>0.96118108610365471</v>
      </c>
      <c r="V32" s="79">
        <f t="shared" si="6"/>
        <v>8.9697157409319281</v>
      </c>
      <c r="W32" s="123">
        <v>0</v>
      </c>
      <c r="X32" s="4">
        <f t="shared" si="7"/>
        <v>8.9697157409319281</v>
      </c>
      <c r="Y32" s="72">
        <f t="shared" si="8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17.939431481863856</v>
      </c>
      <c r="AC32" s="11"/>
    </row>
    <row r="33" spans="1:29" ht="15.75" outlineLevel="1" thickBot="1">
      <c r="A33" s="17" t="s">
        <v>38</v>
      </c>
      <c r="B33" s="10" t="s">
        <v>88</v>
      </c>
      <c r="C33" s="59" t="s">
        <v>140</v>
      </c>
      <c r="D33" s="24">
        <f>Konvention_1master-MUmaster</f>
        <v>5</v>
      </c>
      <c r="E33" s="19"/>
      <c r="F33" s="19">
        <f t="shared" si="12"/>
        <v>5</v>
      </c>
      <c r="G33" s="19">
        <f t="shared" si="10"/>
        <v>7</v>
      </c>
      <c r="H33" s="19"/>
      <c r="I33" s="19"/>
      <c r="J33" s="19"/>
      <c r="K33" s="23"/>
      <c r="L33" s="37">
        <f t="shared" si="13"/>
        <v>5.666666666666667</v>
      </c>
      <c r="M33" s="25">
        <f t="shared" si="0"/>
        <v>11.333333333333334</v>
      </c>
      <c r="N33" s="36">
        <f t="shared" si="1"/>
        <v>17</v>
      </c>
      <c r="O33" s="19">
        <f t="shared" si="14"/>
        <v>3052</v>
      </c>
      <c r="P33" s="19">
        <f>D33*F33*CHmaster+D33*INmaster*G33+MUmaster*F33*G33</f>
        <v>1280</v>
      </c>
      <c r="Q33" s="23">
        <f t="shared" si="2"/>
        <v>175</v>
      </c>
      <c r="R33" s="24">
        <f>SUM(O33:Q33)</f>
        <v>4507</v>
      </c>
      <c r="S33" s="37">
        <f t="shared" si="3"/>
        <v>3.8372901412617413</v>
      </c>
      <c r="T33" s="25">
        <f t="shared" si="4"/>
        <v>3.2186968419495603</v>
      </c>
      <c r="U33" s="38">
        <f t="shared" si="5"/>
        <v>0.66008431329043715</v>
      </c>
      <c r="V33" s="80">
        <f t="shared" si="6"/>
        <v>7.7160712965017391</v>
      </c>
      <c r="W33" s="123">
        <v>0</v>
      </c>
      <c r="X33" s="5">
        <f t="shared" si="7"/>
        <v>7.7160712965017391</v>
      </c>
      <c r="Y33" s="73">
        <f t="shared" si="8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30.864285186006956</v>
      </c>
      <c r="AC33" s="11"/>
    </row>
    <row r="34" spans="1:29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C34" s="11"/>
    </row>
    <row r="35" spans="1:29" outlineLevel="1">
      <c r="A35" s="17" t="s">
        <v>32</v>
      </c>
      <c r="B35" s="8" t="s">
        <v>9</v>
      </c>
      <c r="C35" s="64" t="s">
        <v>141</v>
      </c>
      <c r="D35" s="60">
        <f>Konvention_1master-MUmaster</f>
        <v>5</v>
      </c>
      <c r="E35" s="61"/>
      <c r="F35" s="61">
        <f>Konvention_1master-INmaster</f>
        <v>5</v>
      </c>
      <c r="G35" s="61"/>
      <c r="H35" s="61"/>
      <c r="I35" s="61">
        <f>Konvention_1master-GEmaster</f>
        <v>7</v>
      </c>
      <c r="J35" s="61"/>
      <c r="K35" s="62"/>
      <c r="L35" s="27">
        <f>(D35+E35+F35+G35+H35+I35+J35+K35)/3</f>
        <v>5.666666666666667</v>
      </c>
      <c r="M35" s="27">
        <f t="shared" si="0"/>
        <v>11.333333333333334</v>
      </c>
      <c r="N35" s="28">
        <f t="shared" si="1"/>
        <v>17</v>
      </c>
      <c r="O35" s="11">
        <f>D35*POWER(KLmaster,SIGN(E35))*POWER(INmaster,SIGN(F35))*POWER(CHmaster,SIGN(G35))*POWER(FFmaster,SIGN(H35))*POWER(GEmaster,SIGN(I35))*POWER(KOmaster,SIGN(J35))*POWER(KKmaster,SIGN(K35))+E35*POWER(MUmaster,SIGN(D35))*POWER(INmaster,SIGN(F35))*POWER(CHmaster,SIGN(G35))*POWER(FFmaster,SIGN(H35))*POWER(GEmaster,SIGN(I35))*POWER(KOmaster,SIGN(J35))*POWER(KKmaster,SIGN(K35))+F35*POWER(MUmaster,SIGN(D35))*POWER(KLmaster,SIGN(E35))*POWER(CHmaster,SIGN(G35))*POWER(FFmaster,SIGN(H35))*POWER(GEmaster,SIGN(I35))*POWER(KOmaster,SIGN(J35))*POWER(KKmaster,SIGN(K35))+G35*POWER(MUmaster,SIGN(D35))*POWER(KLmaster,SIGN(E35))*POWER(INmaster,SIGN(F35))*POWER(FFmaster,SIGN(H35))*POWER(GEmaster,SIGN(I35))*POWER(KOmaster,SIGN(J35))*POWER(KKmaster,SIGN(K35))+H35*POWER(MUmaster,SIGN(D35))*POWER(KLmaster,SIGN(E35))*POWER(INmaster,SIGN(F35))*POWER(CHmaster,SIGN(G35))*POWER(GEmaster,SIGN(I35))*POWER(KOmaster,SIGN(J35))*POWER(KKmaster,SIGN(K35))+I35*POWER(MUmaster,SIGN(D35))*POWER(KLmaster,SIGN(E35))*POWER(INmaster,SIGN(F35))*POWER(CHmaster,SIGN(G35))*POWER(FFmaster,SIGN(H35))*POWER(KOmaster,SIGN(J35))*POWER(KKmaster,SIGN(K35))+J35*POWER(MUmaster,SIGN(D35))*POWER(KLmaster,SIGN(E35))*POWER(INmaster,SIGN(F35))*POWER(CHmaster,SIGN(G35))*POWER(FFmaster,SIGN(H35))*POWER(GEmaster,SIGN(I35))*POWER(KKmaster,SIGN(K35))+K35*POWER(MUmaster,SIGN(D35))*POWER(KLmaster,SIGN(E35))*POWER(INmaster,SIGN(F35))*POWER(CHmaster,SIGN(G35))*POWER(FFmaster,SIGN(H35))*POWER(GEmaster,SIGN(I35))*POWER(KOmaster,SIGN(J35))</f>
        <v>3052</v>
      </c>
      <c r="P35" s="11">
        <f>D35*F35*GEmaster+D35*INmaster*I35+MUmaster*F35*I35</f>
        <v>1280</v>
      </c>
      <c r="Q35" s="62">
        <f t="shared" si="2"/>
        <v>175</v>
      </c>
      <c r="R35" s="60">
        <f t="shared" ref="R35:R41" si="15">SUM(O35:Q35)</f>
        <v>4507</v>
      </c>
      <c r="S35" s="29">
        <f t="shared" si="3"/>
        <v>3.8372901412617413</v>
      </c>
      <c r="T35" s="30">
        <f t="shared" si="4"/>
        <v>3.2186968419495603</v>
      </c>
      <c r="U35" s="31">
        <f t="shared" si="5"/>
        <v>0.66008431329043715</v>
      </c>
      <c r="V35" s="78">
        <f t="shared" si="6"/>
        <v>7.7160712965017391</v>
      </c>
      <c r="W35" s="123">
        <v>0</v>
      </c>
      <c r="X35" s="3">
        <f t="shared" si="7"/>
        <v>7.7160712965017391</v>
      </c>
      <c r="Y35" s="71">
        <f t="shared" si="8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23.148213889505218</v>
      </c>
      <c r="AC35" s="11"/>
    </row>
    <row r="36" spans="1:29" outlineLevel="1">
      <c r="A36" s="17" t="s">
        <v>33</v>
      </c>
      <c r="B36" s="9" t="s">
        <v>91</v>
      </c>
      <c r="C36" s="68" t="s">
        <v>139</v>
      </c>
      <c r="D36" s="20"/>
      <c r="E36" s="21">
        <f>Konvention_1master-KLmaster</f>
        <v>5</v>
      </c>
      <c r="F36" s="21"/>
      <c r="G36" s="21"/>
      <c r="H36" s="21">
        <f>Konvention_1master-FFmaster</f>
        <v>6</v>
      </c>
      <c r="I36" s="21"/>
      <c r="J36" s="21"/>
      <c r="K36" s="22">
        <f>Konvention_1master-KKmaster</f>
        <v>11</v>
      </c>
      <c r="L36" s="27">
        <f>(D36+E36+F36+G36+H36+I36+J36+K36)/3</f>
        <v>7.333333333333333</v>
      </c>
      <c r="M36" s="27">
        <f t="shared" si="0"/>
        <v>14.666666666666666</v>
      </c>
      <c r="N36" s="32">
        <f t="shared" si="1"/>
        <v>22</v>
      </c>
      <c r="O36" s="11">
        <f>D36*POWER(KLmaster,SIGN(E36))*POWER(INmaster,SIGN(F36))*POWER(CHmaster,SIGN(G36))*POWER(FFmaster,SIGN(H36))*POWER(GEmaster,SIGN(I36))*POWER(KOmaster,SIGN(J36))*POWER(KKmaster,SIGN(K36))+E36*POWER(MUmaster,SIGN(D36))*POWER(INmaster,SIGN(F36))*POWER(CHmaster,SIGN(G36))*POWER(FFmaster,SIGN(H36))*POWER(GEmaster,SIGN(I36))*POWER(KOmaster,SIGN(J36))*POWER(KKmaster,SIGN(K36))+F36*POWER(MUmaster,SIGN(D36))*POWER(KLmaster,SIGN(E36))*POWER(CHmaster,SIGN(G36))*POWER(FFmaster,SIGN(H36))*POWER(GEmaster,SIGN(I36))*POWER(KOmaster,SIGN(J36))*POWER(KKmaster,SIGN(K36))+G36*POWER(MUmaster,SIGN(D36))*POWER(KLmaster,SIGN(E36))*POWER(INmaster,SIGN(F36))*POWER(FFmaster,SIGN(H36))*POWER(GEmaster,SIGN(I36))*POWER(KOmaster,SIGN(J36))*POWER(KKmaster,SIGN(K36))+H36*POWER(MUmaster,SIGN(D36))*POWER(KLmaster,SIGN(E36))*POWER(INmaster,SIGN(F36))*POWER(CHmaster,SIGN(G36))*POWER(GEmaster,SIGN(I36))*POWER(KOmaster,SIGN(J36))*POWER(KKmaster,SIGN(K36))+I36*POWER(MUmaster,SIGN(D36))*POWER(KLmaster,SIGN(E36))*POWER(INmaster,SIGN(F36))*POWER(CHmaster,SIGN(G36))*POWER(FFmaster,SIGN(H36))*POWER(KOmaster,SIGN(J36))*POWER(KKmaster,SIGN(K36))+J36*POWER(MUmaster,SIGN(D36))*POWER(KLmaster,SIGN(E36))*POWER(INmaster,SIGN(F36))*POWER(CHmaster,SIGN(G36))*POWER(FFmaster,SIGN(H36))*POWER(GEmaster,SIGN(I36))*POWER(KKmaster,SIGN(K36))+K36*POWER(MUmaster,SIGN(D36))*POWER(KLmaster,SIGN(E36))*POWER(INmaster,SIGN(F36))*POWER(CHmaster,SIGN(G36))*POWER(FFmaster,SIGN(H36))*POWER(GEmaster,SIGN(I36))*POWER(KOmaster,SIGN(J36))</f>
        <v>3194</v>
      </c>
      <c r="P36" s="11">
        <f>E36*H36*KKmaster+E36*FFmaster*K36+KLmaster*H36*K36</f>
        <v>1879</v>
      </c>
      <c r="Q36" s="22">
        <f t="shared" si="2"/>
        <v>330</v>
      </c>
      <c r="R36" s="20">
        <f t="shared" si="15"/>
        <v>5403</v>
      </c>
      <c r="S36" s="33">
        <f t="shared" si="3"/>
        <v>4.3351224628292915</v>
      </c>
      <c r="T36" s="26">
        <f t="shared" si="4"/>
        <v>5.1006231106175575</v>
      </c>
      <c r="U36" s="34">
        <f t="shared" si="5"/>
        <v>1.3436979455857856</v>
      </c>
      <c r="V36" s="79">
        <f t="shared" si="6"/>
        <v>10.779443519032634</v>
      </c>
      <c r="W36" s="123">
        <v>0</v>
      </c>
      <c r="X36" s="4">
        <f t="shared" si="7"/>
        <v>10.779443519032634</v>
      </c>
      <c r="Y36" s="72">
        <f t="shared" si="8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10.779443519032634</v>
      </c>
      <c r="AC36" s="11"/>
    </row>
    <row r="37" spans="1:29" outlineLevel="1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Konvention_1master-FFmaster</f>
        <v>6</v>
      </c>
      <c r="I37" s="21">
        <f>Konvention_1master-GEmaster</f>
        <v>7</v>
      </c>
      <c r="J37" s="21">
        <f>Konvention_1master-KOmaster</f>
        <v>6</v>
      </c>
      <c r="K37" s="22"/>
      <c r="L37" s="27">
        <f>(D37+E37+F37+G37+H37+I37+J37+K37)/3</f>
        <v>6.333333333333333</v>
      </c>
      <c r="M37" s="27">
        <f t="shared" si="0"/>
        <v>12.666666666666666</v>
      </c>
      <c r="N37" s="32">
        <f t="shared" si="1"/>
        <v>19</v>
      </c>
      <c r="O37" s="11">
        <f>D37*POWER(KLmaster,SIGN(E37))*POWER(INmaster,SIGN(F37))*POWER(CHmaster,SIGN(G37))*POWER(FFmaster,SIGN(H37))*POWER(GEmaster,SIGN(I37))*POWER(KOmaster,SIGN(J37))*POWER(KKmaster,SIGN(K37))+E37*POWER(MUmaster,SIGN(D37))*POWER(INmaster,SIGN(F37))*POWER(CHmaster,SIGN(G37))*POWER(FFmaster,SIGN(H37))*POWER(GEmaster,SIGN(I37))*POWER(KOmaster,SIGN(J37))*POWER(KKmaster,SIGN(K37))+F37*POWER(MUmaster,SIGN(D37))*POWER(KLmaster,SIGN(E37))*POWER(CHmaster,SIGN(G37))*POWER(FFmaster,SIGN(H37))*POWER(GEmaster,SIGN(I37))*POWER(KOmaster,SIGN(J37))*POWER(KKmaster,SIGN(K37))+G37*POWER(MUmaster,SIGN(D37))*POWER(KLmaster,SIGN(E37))*POWER(INmaster,SIGN(F37))*POWER(FFmaster,SIGN(H37))*POWER(GEmaster,SIGN(I37))*POWER(KOmaster,SIGN(J37))*POWER(KKmaster,SIGN(K37))+H37*POWER(MUmaster,SIGN(D37))*POWER(KLmaster,SIGN(E37))*POWER(INmaster,SIGN(F37))*POWER(CHmaster,SIGN(G37))*POWER(GEmaster,SIGN(I37))*POWER(KOmaster,SIGN(J37))*POWER(KKmaster,SIGN(K37))+I37*POWER(MUmaster,SIGN(D37))*POWER(KLmaster,SIGN(E37))*POWER(INmaster,SIGN(F37))*POWER(CHmaster,SIGN(G37))*POWER(FFmaster,SIGN(H37))*POWER(KOmaster,SIGN(J37))*POWER(KKmaster,SIGN(K37))+J37*POWER(MUmaster,SIGN(D37))*POWER(KLmaster,SIGN(E37))*POWER(INmaster,SIGN(F37))*POWER(CHmaster,SIGN(G37))*POWER(FFmaster,SIGN(H37))*POWER(GEmaster,SIGN(I37))*POWER(KKmaster,SIGN(K37))+K37*POWER(MUmaster,SIGN(D37))*POWER(KLmaster,SIGN(E37))*POWER(INmaster,SIGN(F37))*POWER(CHmaster,SIGN(G37))*POWER(FFmaster,SIGN(H37))*POWER(GEmaster,SIGN(I37))*POWER(KOmaster,SIGN(J37))</f>
        <v>3055</v>
      </c>
      <c r="P37" s="11">
        <f>H37*I37*KOmaster+H37*GEmaster*J37+FFmaster*I37*J37</f>
        <v>1524</v>
      </c>
      <c r="Q37" s="22">
        <f t="shared" si="2"/>
        <v>252</v>
      </c>
      <c r="R37" s="20">
        <f t="shared" si="15"/>
        <v>4831</v>
      </c>
      <c r="S37" s="33">
        <f t="shared" si="3"/>
        <v>4.0050369143724556</v>
      </c>
      <c r="T37" s="26">
        <f t="shared" si="4"/>
        <v>3.9958600703788036</v>
      </c>
      <c r="U37" s="34">
        <f t="shared" si="5"/>
        <v>0.99109915131442761</v>
      </c>
      <c r="V37" s="79">
        <f t="shared" si="6"/>
        <v>8.991996136065687</v>
      </c>
      <c r="W37" s="123">
        <v>0</v>
      </c>
      <c r="X37" s="4">
        <f t="shared" si="7"/>
        <v>8.991996136065687</v>
      </c>
      <c r="Y37" s="72">
        <f t="shared" si="8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8.991996136065687</v>
      </c>
      <c r="AC37" s="11"/>
    </row>
    <row r="38" spans="1:29" outlineLevel="1">
      <c r="A38" s="17" t="s">
        <v>35</v>
      </c>
      <c r="B38" s="9" t="s">
        <v>82</v>
      </c>
      <c r="C38" s="68" t="s">
        <v>138</v>
      </c>
      <c r="D38" s="20"/>
      <c r="E38" s="21">
        <f>Konvention_1master-KLmaster</f>
        <v>5</v>
      </c>
      <c r="F38" s="21">
        <f>Konvention_1master-INmaster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0"/>
        <v>10</v>
      </c>
      <c r="N38" s="32">
        <f t="shared" si="1"/>
        <v>15</v>
      </c>
      <c r="O38" s="11">
        <f>F38*POWER(MUmaster,SIGN(D38))*POWER(KLmaster,SIGN(E38))*POWER(INmaster,SIGN(F38))*POWER(CHmaster,SIGN(G38))*POWER(FFmaster,SIGN(H38))*POWER(GEmaster,SIGN(I38))*POWER(KOmaster,SIGN(J38))*POWER(KKmaster,SIGN(K38))+F38*POWER(MUmaster,SIGN(D38))*POWER(KLmaster,SIGN(E38))*POWER(INmaster,SIGN(F38))*POWER(CHmaster,SIGN(G38))*POWER(FFmaster,SIGN(H38))*POWER(GEmaster,SIGN(I38))*POWER(KOmaster,SIGN(J38))*POWER(KKmaster,SIGN(K38))+E38*POWER(MUmaster,SIGN(D38))*POWER(KLmaster,SIGN(E38))*POWER(INmaster,SIGN(F38))*POWER(CHmaster,SIGN(G38))*POWER(FFmaster,SIGN(H38))*POWER(GEmaster,SIGN(I38)) *POWER(KKmaster,SIGN(K38))*POWER(INmaster,SIGN(F38)) / POWER(KLmaster,SIGN(E38))</f>
        <v>2940</v>
      </c>
      <c r="P38" s="11">
        <f>E38*F38*INmaster+E38*INmaster*F38+KLmaster*F38*F38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5"/>
        <v>4115</v>
      </c>
      <c r="S38" s="33">
        <f t="shared" si="3"/>
        <v>3.5722964763061968</v>
      </c>
      <c r="T38" s="26">
        <f t="shared" si="4"/>
        <v>2.5516403402187122</v>
      </c>
      <c r="U38" s="34">
        <f t="shared" si="5"/>
        <v>0.45565006075334141</v>
      </c>
      <c r="V38" s="79">
        <f t="shared" si="6"/>
        <v>6.57958687727825</v>
      </c>
      <c r="W38" s="123">
        <v>0</v>
      </c>
      <c r="X38" s="4">
        <f t="shared" si="7"/>
        <v>6.57958687727825</v>
      </c>
      <c r="Y38" s="72">
        <f t="shared" si="8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C38" s="11"/>
    </row>
    <row r="39" spans="1:29" outlineLevel="1">
      <c r="A39" s="17" t="s">
        <v>68</v>
      </c>
      <c r="B39" s="9" t="s">
        <v>93</v>
      </c>
      <c r="C39" s="68" t="s">
        <v>141</v>
      </c>
      <c r="D39" s="20"/>
      <c r="E39" s="21">
        <f>Konvention_1master-KLmaster</f>
        <v>5</v>
      </c>
      <c r="F39" s="21"/>
      <c r="G39" s="21"/>
      <c r="H39" s="21">
        <f>Konvention_1master-FFmaster</f>
        <v>6</v>
      </c>
      <c r="I39" s="21"/>
      <c r="J39" s="21">
        <f>Konvention_1master-KOmaster</f>
        <v>6</v>
      </c>
      <c r="K39" s="22"/>
      <c r="L39" s="27">
        <f>(D39+E39+F39+G39+H39+I39+J39+K39)/3</f>
        <v>5.666666666666667</v>
      </c>
      <c r="M39" s="27">
        <f t="shared" si="0"/>
        <v>11.333333333333334</v>
      </c>
      <c r="N39" s="32">
        <f t="shared" si="1"/>
        <v>17</v>
      </c>
      <c r="O39" s="11">
        <f>D39*POWER(KLmaster,SIGN(E39))*POWER(INmaster,SIGN(F39))*POWER(CHmaster,SIGN(G39))*POWER(FFmaster,SIGN(H39))*POWER(GEmaster,SIGN(I39))*POWER(KOmaster,SIGN(J39))*POWER(KKmaster,SIGN(K39))+E39*POWER(MUmaster,SIGN(D39))*POWER(INmaster,SIGN(F39))*POWER(CHmaster,SIGN(G39))*POWER(FFmaster,SIGN(H39))*POWER(GEmaster,SIGN(I39))*POWER(KOmaster,SIGN(J39))*POWER(KKmaster,SIGN(K39))+F39*POWER(MUmaster,SIGN(D39))*POWER(KLmaster,SIGN(E39))*POWER(CHmaster,SIGN(G39))*POWER(FFmaster,SIGN(H39))*POWER(GEmaster,SIGN(I39))*POWER(KOmaster,SIGN(J39))*POWER(KKmaster,SIGN(K39))+G39*POWER(MUmaster,SIGN(D39))*POWER(KLmaster,SIGN(E39))*POWER(INmaster,SIGN(F39))*POWER(FFmaster,SIGN(H39))*POWER(GEmaster,SIGN(I39))*POWER(KOmaster,SIGN(J39))*POWER(KKmaster,SIGN(K39))+H39*POWER(MUmaster,SIGN(D39))*POWER(KLmaster,SIGN(E39))*POWER(INmaster,SIGN(F39))*POWER(CHmaster,SIGN(G39))*POWER(GEmaster,SIGN(I39))*POWER(KOmaster,SIGN(J39))*POWER(KKmaster,SIGN(K39))+I39*POWER(MUmaster,SIGN(D39))*POWER(KLmaster,SIGN(E39))*POWER(INmaster,SIGN(F39))*POWER(CHmaster,SIGN(G39))*POWER(FFmaster,SIGN(H39))*POWER(KOmaster,SIGN(J39))*POWER(KKmaster,SIGN(K39))+J39*POWER(MUmaster,SIGN(D39))*POWER(KLmaster,SIGN(E39))*POWER(INmaster,SIGN(F39))*POWER(CHmaster,SIGN(G39))*POWER(FFmaster,SIGN(H39))*POWER(GEmaster,SIGN(I39))*POWER(KKmaster,SIGN(K39))+K39*POWER(MUmaster,SIGN(D39))*POWER(KLmaster,SIGN(E39))*POWER(INmaster,SIGN(F39))*POWER(CHmaster,SIGN(G39))*POWER(FFmaster,SIGN(H39))*POWER(GEmaster,SIGN(I39))*POWER(KOmaster,SIGN(J39))</f>
        <v>3029</v>
      </c>
      <c r="P39" s="11">
        <f>E39*H39*KOmaster+E39*FFmaster*J39+KLmaster*H39*J39</f>
        <v>1284</v>
      </c>
      <c r="Q39" s="22">
        <f>IFERROR(D39^SIGN(D39),1)*IFERROR(E39^SIGN(E39),1)*IFERROR(F39^SIGN(F39),1)*IFERROR(G39^SIGN(G39),1)*IFERROR(H39^SIGN(H39),1)*IFERROR(I39^SIGN(I39),1)*IFERROR(J39^SIGN(J39),1)*IFERROR(K39^SIGN(K39),1)</f>
        <v>180</v>
      </c>
      <c r="R39" s="20">
        <f t="shared" si="15"/>
        <v>4493</v>
      </c>
      <c r="S39" s="33">
        <f t="shared" si="3"/>
        <v>3.8202388901253808</v>
      </c>
      <c r="T39" s="26">
        <f t="shared" si="4"/>
        <v>3.2388159359002895</v>
      </c>
      <c r="U39" s="34">
        <f t="shared" si="5"/>
        <v>0.68105942577342538</v>
      </c>
      <c r="V39" s="79">
        <f t="shared" si="6"/>
        <v>7.7401142517990964</v>
      </c>
      <c r="W39" s="123">
        <v>0</v>
      </c>
      <c r="X39" s="4">
        <f t="shared" si="7"/>
        <v>7.7401142517990964</v>
      </c>
      <c r="Y39" s="72">
        <f t="shared" si="8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23.22034275539729</v>
      </c>
      <c r="AC39" s="11"/>
    </row>
    <row r="40" spans="1:29" outlineLevel="1">
      <c r="A40" s="17" t="s">
        <v>36</v>
      </c>
      <c r="B40" s="9" t="s">
        <v>94</v>
      </c>
      <c r="C40" s="68" t="s">
        <v>141</v>
      </c>
      <c r="D40" s="20">
        <f>Konvention_1master-MUmaster</f>
        <v>5</v>
      </c>
      <c r="E40" s="21"/>
      <c r="F40" s="21"/>
      <c r="G40" s="21">
        <f>Konvention_1master-CHmaster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0"/>
        <v>11.333333333333334</v>
      </c>
      <c r="N40" s="32">
        <f t="shared" si="1"/>
        <v>17</v>
      </c>
      <c r="O40" s="11">
        <f>D40*POWER(MUmaster,SIGN(D40))*POWER(KLmaster,SIGN(E40))*POWER(INmaster,SIGN(F40))*POWER(CHmaster,SIGN(G40))*POWER(FFmaster,SIGN(H40))*POWER(GEmaster,SIGN(I40))*POWER(KOmaster,SIGN(J40))*POWER(KKmaster,SIGN(K40))+D40*POWER(MUmaster,SIGN(D40))*POWER(KLmaster,SIGN(E40))*POWER(INmaster,SIGN(F40))*POWER(CHmaster,SIGN(G40))*POWER(FFmaster,SIGN(H40))*POWER(GEmaster,SIGN(I40))*POWER(KOmaster,SIGN(J40))*POWER(KKmaster,SIGN(K40))+G40*POWER(MUmaster,SIGN(D40))*POWER(KLmaster,SIGN(E40))*POWER(INmaster,SIGN(F40))*POWER(CHmaster,SIGN(G40))*POWER(FFmaster,SIGN(H40))*POWER(GEmaster,SIGN(I40))*POWER(KKmaster,SIGN(K40))*POWER(MUmaster,SIGN(D40))/POWER(CHmaster,SIGN(G40))</f>
        <v>3052</v>
      </c>
      <c r="P40" s="11">
        <f>D40*D40*CHmaster+D40*MUmaster*G40+MUmaster*D40*G40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5"/>
        <v>4507</v>
      </c>
      <c r="S40" s="33">
        <f t="shared" si="3"/>
        <v>3.8372901412617413</v>
      </c>
      <c r="T40" s="26">
        <f t="shared" si="4"/>
        <v>3.2186968419495603</v>
      </c>
      <c r="U40" s="34">
        <f t="shared" si="5"/>
        <v>0.66008431329043715</v>
      </c>
      <c r="V40" s="79">
        <f t="shared" si="6"/>
        <v>7.7160712965017391</v>
      </c>
      <c r="W40" s="123">
        <v>0</v>
      </c>
      <c r="X40" s="4">
        <f t="shared" si="7"/>
        <v>7.7160712965017391</v>
      </c>
      <c r="Y40" s="72">
        <f t="shared" si="8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C40" s="11"/>
    </row>
    <row r="41" spans="1:29" ht="15.75" outlineLevel="1" thickBot="1">
      <c r="A41" s="40" t="s">
        <v>37</v>
      </c>
      <c r="B41" s="10" t="s">
        <v>95</v>
      </c>
      <c r="C41" s="59" t="s">
        <v>141</v>
      </c>
      <c r="D41" s="24">
        <f>Konvention_1master-MUmaster</f>
        <v>5</v>
      </c>
      <c r="E41" s="19"/>
      <c r="F41" s="19"/>
      <c r="G41" s="19"/>
      <c r="H41" s="19"/>
      <c r="I41" s="19">
        <f>Konvention_1master-GEmaster</f>
        <v>7</v>
      </c>
      <c r="J41" s="19">
        <f>Konvention_1master-KOmaster</f>
        <v>6</v>
      </c>
      <c r="K41" s="23"/>
      <c r="L41" s="37">
        <f>(D41+E41+F41+G41+H41+I41+J41+K41)/3</f>
        <v>6</v>
      </c>
      <c r="M41" s="25">
        <f t="shared" si="0"/>
        <v>12</v>
      </c>
      <c r="N41" s="36">
        <f t="shared" si="1"/>
        <v>18</v>
      </c>
      <c r="O41" s="19">
        <f>D41*POWER(KLmaster,SIGN(E41))*POWER(INmaster,SIGN(F41))*POWER(CHmaster,SIGN(G41))*POWER(FFmaster,SIGN(H41))*POWER(GEmaster,SIGN(I41))*POWER(KOmaster,SIGN(J41))*POWER(KKmaster,SIGN(K41))+E41*POWER(MUmaster,SIGN(D41))*POWER(INmaster,SIGN(F41))*POWER(CHmaster,SIGN(G41))*POWER(FFmaster,SIGN(H41))*POWER(GEmaster,SIGN(I41))*POWER(KOmaster,SIGN(J41))*POWER(KKmaster,SIGN(K41))+F41*POWER(MUmaster,SIGN(D41))*POWER(KLmaster,SIGN(E41))*POWER(CHmaster,SIGN(G41))*POWER(FFmaster,SIGN(H41))*POWER(GEmaster,SIGN(I41))*POWER(KOmaster,SIGN(J41))*POWER(KKmaster,SIGN(K41))+G41*POWER(MUmaster,SIGN(D41))*POWER(KLmaster,SIGN(E41))*POWER(INmaster,SIGN(F41))*POWER(FFmaster,SIGN(H41))*POWER(GEmaster,SIGN(I41))*POWER(KOmaster,SIGN(J41))*POWER(KKmaster,SIGN(K41))+H41*POWER(MUmaster,SIGN(D41))*POWER(KLmaster,SIGN(E41))*POWER(INmaster,SIGN(F41))*POWER(CHmaster,SIGN(G41))*POWER(GEmaster,SIGN(I41))*POWER(KOmaster,SIGN(J41))*POWER(KKmaster,SIGN(K41))+I41*POWER(MUmaster,SIGN(D41))*POWER(KLmaster,SIGN(E41))*POWER(INmaster,SIGN(F41))*POWER(CHmaster,SIGN(G41))*POWER(FFmaster,SIGN(H41))*POWER(KOmaster,SIGN(J41))*POWER(KKmaster,SIGN(K41))+J41*POWER(MUmaster,SIGN(D41))*POWER(KLmaster,SIGN(E41))*POWER(INmaster,SIGN(F41))*POWER(CHmaster,SIGN(G41))*POWER(FFmaster,SIGN(H41))*POWER(GEmaster,SIGN(I41))*POWER(KKmaster,SIGN(K41))+K41*POWER(MUmaster,SIGN(D41))*POWER(KLmaster,SIGN(E41))*POWER(INmaster,SIGN(F41))*POWER(CHmaster,SIGN(G41))*POWER(FFmaster,SIGN(H41))*POWER(GEmaster,SIGN(I41))*POWER(KOmaster,SIGN(J41))</f>
        <v>3062</v>
      </c>
      <c r="P41" s="19">
        <f>D41*I41*KOmaster+D41*GEmaster*J41+MUmaster*I41*J41</f>
        <v>1403</v>
      </c>
      <c r="Q41" s="23">
        <f t="shared" si="2"/>
        <v>210</v>
      </c>
      <c r="R41" s="24">
        <f t="shared" si="15"/>
        <v>4675</v>
      </c>
      <c r="S41" s="37">
        <f t="shared" si="3"/>
        <v>3.9298395721925132</v>
      </c>
      <c r="T41" s="25">
        <f t="shared" si="4"/>
        <v>3.6012834224598929</v>
      </c>
      <c r="U41" s="38">
        <f t="shared" si="5"/>
        <v>0.80855614973262036</v>
      </c>
      <c r="V41" s="80">
        <f t="shared" si="6"/>
        <v>8.3396791443850269</v>
      </c>
      <c r="W41" s="123">
        <v>0</v>
      </c>
      <c r="X41" s="5">
        <f t="shared" si="7"/>
        <v>8.3396791443850269</v>
      </c>
      <c r="Y41" s="73">
        <f t="shared" si="8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25.019037433155081</v>
      </c>
      <c r="AC41" s="11"/>
    </row>
    <row r="42" spans="1:29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C42" s="11"/>
    </row>
    <row r="43" spans="1:29" outlineLevel="1">
      <c r="A43" s="17" t="s">
        <v>39</v>
      </c>
      <c r="B43" s="8" t="s">
        <v>96</v>
      </c>
      <c r="C43" s="64" t="s">
        <v>139</v>
      </c>
      <c r="D43" s="60"/>
      <c r="E43" s="61">
        <f t="shared" ref="E43:E54" si="16">Konvention_1master-KLmaster</f>
        <v>5</v>
      </c>
      <c r="F43" s="61">
        <f t="shared" ref="F43:F48" si="17">Konvention_1master-INmaster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0"/>
        <v>10</v>
      </c>
      <c r="N43" s="28">
        <f t="shared" si="1"/>
        <v>15</v>
      </c>
      <c r="O43" s="11">
        <f>E43*POWER(MUmaster,SIGN(D43))*POWER(KLmaster,SIGN(E43))*POWER(INmaster,SIGN(F43))*POWER(CHmaster,SIGN(G43))*POWER(FFmaster,SIGN(H43))*POWER(GEmaster,SIGN(I43))*POWER(KOmaster,SIGN(J43))*POWER(KKmaster,SIGN(K43))+E43*POWER(MUmaster,SIGN(D43))*POWER(KLmaster,SIGN(E43))*POWER(INmaster,SIGN(F43))*POWER(CHmaster,SIGN(G43))*POWER(FFmaster,SIGN(H43))*POWER(GEmaster,SIGN(I43))*POWER(KOmaster,SIGN(J43))*POWER(KKmaster,SIGN(K43))+F43*POWER(MUmaster,SIGN(D43))*POWER(KLmaster,SIGN(E43))*POWER(INmaster,SIGN(F43))*POWER(CHmaster,SIGN(G43))*POWER(FFmaster,SIGN(H43))*POWER(GEmaster,SIGN(I43))*POWER(KKmaster,SIGN(K43))*POWER(KLmaster,SIGN(E43))/POWER(INmaster,SIGN(F43))</f>
        <v>2940</v>
      </c>
      <c r="P43" s="11">
        <f>E43*E43*INmaster+E43*KLmaster*F43+KLmaster*E43*F43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3"/>
        <v>3.5722964763061968</v>
      </c>
      <c r="T43" s="30">
        <f t="shared" si="4"/>
        <v>2.5516403402187122</v>
      </c>
      <c r="U43" s="31">
        <f t="shared" si="5"/>
        <v>0.45565006075334141</v>
      </c>
      <c r="V43" s="78">
        <f t="shared" si="6"/>
        <v>6.57958687727825</v>
      </c>
      <c r="W43" s="123">
        <v>0</v>
      </c>
      <c r="X43" s="3">
        <f t="shared" si="7"/>
        <v>6.57958687727825</v>
      </c>
      <c r="Y43" s="71">
        <f t="shared" si="8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C43" s="11"/>
    </row>
    <row r="44" spans="1:29" outlineLevel="1">
      <c r="A44" s="17" t="s">
        <v>40</v>
      </c>
      <c r="B44" s="9" t="s">
        <v>96</v>
      </c>
      <c r="C44" s="68" t="s">
        <v>138</v>
      </c>
      <c r="D44" s="20"/>
      <c r="E44" s="21">
        <f t="shared" si="16"/>
        <v>5</v>
      </c>
      <c r="F44" s="21">
        <f t="shared" si="17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0"/>
        <v>10</v>
      </c>
      <c r="N44" s="32">
        <f t="shared" si="1"/>
        <v>15</v>
      </c>
      <c r="O44" s="11">
        <f>E44*POWER(MUmaster,SIGN(D44))*POWER(KLmaster,SIGN(E44))*POWER(INmaster,SIGN(F44))*POWER(CHmaster,SIGN(G44))*POWER(FFmaster,SIGN(H44))*POWER(GEmaster,SIGN(I44))*POWER(KOmaster,SIGN(J44))*POWER(KKmaster,SIGN(K44))+E44*POWER(MUmaster,SIGN(D44))*POWER(KLmaster,SIGN(E44))*POWER(INmaster,SIGN(F44))*POWER(CHmaster,SIGN(G44))*POWER(FFmaster,SIGN(H44))*POWER(GEmaster,SIGN(I44))*POWER(KOmaster,SIGN(J44))*POWER(KKmaster,SIGN(K44))+F44*POWER(MUmaster,SIGN(D44))*POWER(KLmaster,SIGN(E44))*POWER(INmaster,SIGN(F44))*POWER(CHmaster,SIGN(G44))*POWER(FFmaster,SIGN(H44))*POWER(GEmaster,SIGN(I44))*POWER(KKmaster,SIGN(K44))*POWER(KLmaster,SIGN(E44))/POWER(INmaster,SIGN(F44))</f>
        <v>2940</v>
      </c>
      <c r="P44" s="11">
        <f>E44*E44*INmaster+E44*KLmaster*F44+KLmaster*E44*F44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18">SUM(O44:Q44)</f>
        <v>4115</v>
      </c>
      <c r="S44" s="33">
        <f t="shared" si="3"/>
        <v>3.5722964763061968</v>
      </c>
      <c r="T44" s="26">
        <f t="shared" si="4"/>
        <v>2.5516403402187122</v>
      </c>
      <c r="U44" s="34">
        <f t="shared" si="5"/>
        <v>0.45565006075334141</v>
      </c>
      <c r="V44" s="79">
        <f t="shared" si="6"/>
        <v>6.57958687727825</v>
      </c>
      <c r="W44" s="123">
        <v>0</v>
      </c>
      <c r="X44" s="4">
        <f t="shared" si="7"/>
        <v>6.57958687727825</v>
      </c>
      <c r="Y44" s="72">
        <f t="shared" si="8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C44" s="11"/>
    </row>
    <row r="45" spans="1:29" outlineLevel="1">
      <c r="A45" s="17" t="s">
        <v>41</v>
      </c>
      <c r="B45" s="9" t="s">
        <v>96</v>
      </c>
      <c r="C45" s="68" t="s">
        <v>138</v>
      </c>
      <c r="D45" s="20"/>
      <c r="E45" s="21">
        <f t="shared" si="16"/>
        <v>5</v>
      </c>
      <c r="F45" s="21">
        <f t="shared" si="17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0"/>
        <v>10</v>
      </c>
      <c r="N45" s="32">
        <f t="shared" si="1"/>
        <v>15</v>
      </c>
      <c r="O45" s="11">
        <f>E45*POWER(MUmaster,SIGN(D45))*POWER(KLmaster,SIGN(E45))*POWER(INmaster,SIGN(F45))*POWER(CHmaster,SIGN(G45))*POWER(FFmaster,SIGN(H45))*POWER(GEmaster,SIGN(I45))*POWER(KOmaster,SIGN(J45))*POWER(KKmaster,SIGN(K45))+E45*POWER(MUmaster,SIGN(D45))*POWER(KLmaster,SIGN(E45))*POWER(INmaster,SIGN(F45))*POWER(CHmaster,SIGN(G45))*POWER(FFmaster,SIGN(H45))*POWER(GEmaster,SIGN(I45))*POWER(KOmaster,SIGN(J45))*POWER(KKmaster,SIGN(K45))+F45*POWER(MUmaster,SIGN(D45))*POWER(KLmaster,SIGN(E45))*POWER(INmaster,SIGN(F45))*POWER(CHmaster,SIGN(G45))*POWER(FFmaster,SIGN(H45))*POWER(GEmaster,SIGN(I45))*POWER(KKmaster,SIGN(K45))*POWER(KLmaster,SIGN(E45))/POWER(INmaster,SIGN(F45))</f>
        <v>2940</v>
      </c>
      <c r="P45" s="11">
        <f>E45*E45*INmaster+E45*KLmaster*F45+KLmaster*E45*F45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18"/>
        <v>4115</v>
      </c>
      <c r="S45" s="33">
        <f t="shared" si="3"/>
        <v>3.5722964763061968</v>
      </c>
      <c r="T45" s="26">
        <f t="shared" si="4"/>
        <v>2.5516403402187122</v>
      </c>
      <c r="U45" s="34">
        <f t="shared" si="5"/>
        <v>0.45565006075334141</v>
      </c>
      <c r="V45" s="79">
        <f t="shared" si="6"/>
        <v>6.57958687727825</v>
      </c>
      <c r="W45" s="123">
        <v>0</v>
      </c>
      <c r="X45" s="4">
        <f t="shared" si="7"/>
        <v>6.57958687727825</v>
      </c>
      <c r="Y45" s="72">
        <f t="shared" si="8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C45" s="11"/>
    </row>
    <row r="46" spans="1:29" outlineLevel="1">
      <c r="A46" s="17" t="s">
        <v>42</v>
      </c>
      <c r="B46" s="9" t="s">
        <v>96</v>
      </c>
      <c r="C46" s="68" t="s">
        <v>138</v>
      </c>
      <c r="D46" s="20"/>
      <c r="E46" s="21">
        <f t="shared" si="16"/>
        <v>5</v>
      </c>
      <c r="F46" s="21">
        <f t="shared" si="17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0"/>
        <v>10</v>
      </c>
      <c r="N46" s="32">
        <f t="shared" si="1"/>
        <v>15</v>
      </c>
      <c r="O46" s="11">
        <f>E46*POWER(MUmaster,SIGN(D46))*POWER(KLmaster,SIGN(E46))*POWER(INmaster,SIGN(F46))*POWER(CHmaster,SIGN(G46))*POWER(FFmaster,SIGN(H46))*POWER(GEmaster,SIGN(I46))*POWER(KOmaster,SIGN(J46))*POWER(KKmaster,SIGN(K46))+E46*POWER(MUmaster,SIGN(D46))*POWER(KLmaster,SIGN(E46))*POWER(INmaster,SIGN(F46))*POWER(CHmaster,SIGN(G46))*POWER(FFmaster,SIGN(H46))*POWER(GEmaster,SIGN(I46))*POWER(KOmaster,SIGN(J46))*POWER(KKmaster,SIGN(K46))+F46*POWER(MUmaster,SIGN(D46))*POWER(KLmaster,SIGN(E46))*POWER(INmaster,SIGN(F46))*POWER(CHmaster,SIGN(G46))*POWER(FFmaster,SIGN(H46))*POWER(GEmaster,SIGN(I46))*POWER(KKmaster,SIGN(K46))*POWER(KLmaster,SIGN(E46))/POWER(INmaster,SIGN(F46))</f>
        <v>2940</v>
      </c>
      <c r="P46" s="11">
        <f>E46*E46*INmaster+E46*KLmaster*F46+KLmaster*E46*F46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18"/>
        <v>4115</v>
      </c>
      <c r="S46" s="33">
        <f t="shared" si="3"/>
        <v>3.5722964763061968</v>
      </c>
      <c r="T46" s="26">
        <f t="shared" si="4"/>
        <v>2.5516403402187122</v>
      </c>
      <c r="U46" s="34">
        <f t="shared" si="5"/>
        <v>0.45565006075334141</v>
      </c>
      <c r="V46" s="79">
        <f t="shared" si="6"/>
        <v>6.57958687727825</v>
      </c>
      <c r="W46" s="123">
        <v>0</v>
      </c>
      <c r="X46" s="4">
        <f t="shared" si="7"/>
        <v>6.57958687727825</v>
      </c>
      <c r="Y46" s="72">
        <f t="shared" si="8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C46" s="11"/>
    </row>
    <row r="47" spans="1:29" outlineLevel="1">
      <c r="A47" s="17" t="s">
        <v>43</v>
      </c>
      <c r="B47" s="9" t="s">
        <v>97</v>
      </c>
      <c r="C47" s="68" t="s">
        <v>138</v>
      </c>
      <c r="D47" s="20">
        <f>Konvention_1master-MUmaster</f>
        <v>5</v>
      </c>
      <c r="E47" s="21">
        <f t="shared" si="16"/>
        <v>5</v>
      </c>
      <c r="F47" s="21">
        <f t="shared" si="17"/>
        <v>5</v>
      </c>
      <c r="G47" s="21"/>
      <c r="H47" s="21"/>
      <c r="I47" s="21"/>
      <c r="J47" s="21"/>
      <c r="K47" s="22"/>
      <c r="L47" s="27">
        <f>(D47+E47+F47+G47+H47+I47+J47+K47)/3</f>
        <v>5</v>
      </c>
      <c r="M47" s="27">
        <f t="shared" si="0"/>
        <v>10</v>
      </c>
      <c r="N47" s="32">
        <f t="shared" si="1"/>
        <v>15</v>
      </c>
      <c r="O47" s="11">
        <f>D47*POWER(KLmaster,SIGN(E47))*POWER(INmaster,SIGN(F47))*POWER(CHmaster,SIGN(G47))*POWER(FFmaster,SIGN(H47))*POWER(GEmaster,SIGN(I47))*POWER(KOmaster,SIGN(J47))*POWER(KKmaster,SIGN(K47))+E47*POWER(MUmaster,SIGN(D47))*POWER(INmaster,SIGN(F47))*POWER(CHmaster,SIGN(G47))*POWER(FFmaster,SIGN(H47))*POWER(GEmaster,SIGN(I47))*POWER(KOmaster,SIGN(J47))*POWER(KKmaster,SIGN(K47))+F47*POWER(MUmaster,SIGN(D47))*POWER(KLmaster,SIGN(E47))*POWER(CHmaster,SIGN(G47))*POWER(FFmaster,SIGN(H47))*POWER(GEmaster,SIGN(I47))*POWER(KOmaster,SIGN(J47))*POWER(KKmaster,SIGN(K47))+G47*POWER(MUmaster,SIGN(D47))*POWER(KLmaster,SIGN(E47))*POWER(INmaster,SIGN(F47))*POWER(FFmaster,SIGN(H47))*POWER(GEmaster,SIGN(I47))*POWER(KOmaster,SIGN(J47))*POWER(KKmaster,SIGN(K47))+H47*POWER(MUmaster,SIGN(D47))*POWER(KLmaster,SIGN(E47))*POWER(INmaster,SIGN(F47))*POWER(CHmaster,SIGN(G47))*POWER(GEmaster,SIGN(I47))*POWER(KOmaster,SIGN(J47))*POWER(KKmaster,SIGN(K47))+I47*POWER(MUmaster,SIGN(D47))*POWER(KLmaster,SIGN(E47))*POWER(INmaster,SIGN(F47))*POWER(CHmaster,SIGN(G47))*POWER(FFmaster,SIGN(H47))*POWER(KOmaster,SIGN(J47))*POWER(KKmaster,SIGN(K47))+J47*POWER(MUmaster,SIGN(D47))*POWER(KLmaster,SIGN(E47))*POWER(INmaster,SIGN(F47))*POWER(CHmaster,SIGN(G47))*POWER(FFmaster,SIGN(H47))*POWER(GEmaster,SIGN(I47))*POWER(KKmaster,SIGN(K47))+K47*POWER(MUmaster,SIGN(D47))*POWER(KLmaster,SIGN(E47))*POWER(INmaster,SIGN(F47))*POWER(CHmaster,SIGN(G47))*POWER(FFmaster,SIGN(H47))*POWER(GEmaster,SIGN(I47))*POWER(KOmaster,SIGN(J47))</f>
        <v>2940</v>
      </c>
      <c r="P47" s="11">
        <f>D47*E47*INmaster+D47*KLmaster*F47+MUmaster*E47*F47</f>
        <v>1050</v>
      </c>
      <c r="Q47" s="22">
        <f t="shared" si="2"/>
        <v>125</v>
      </c>
      <c r="R47" s="20">
        <f t="shared" si="18"/>
        <v>4115</v>
      </c>
      <c r="S47" s="33">
        <f t="shared" si="3"/>
        <v>3.5722964763061968</v>
      </c>
      <c r="T47" s="26">
        <f t="shared" si="4"/>
        <v>2.5516403402187122</v>
      </c>
      <c r="U47" s="34">
        <f t="shared" si="5"/>
        <v>0.45565006075334141</v>
      </c>
      <c r="V47" s="79">
        <f t="shared" si="6"/>
        <v>6.57958687727825</v>
      </c>
      <c r="W47" s="123">
        <v>0</v>
      </c>
      <c r="X47" s="4">
        <f t="shared" si="7"/>
        <v>6.57958687727825</v>
      </c>
      <c r="Y47" s="72">
        <f t="shared" si="8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13.1591737545565</v>
      </c>
      <c r="AC47" s="11"/>
    </row>
    <row r="48" spans="1:29" outlineLevel="1">
      <c r="A48" s="17" t="s">
        <v>44</v>
      </c>
      <c r="B48" s="9" t="s">
        <v>96</v>
      </c>
      <c r="C48" s="68" t="s">
        <v>141</v>
      </c>
      <c r="D48" s="20"/>
      <c r="E48" s="21">
        <f t="shared" si="16"/>
        <v>5</v>
      </c>
      <c r="F48" s="21">
        <f t="shared" si="17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0"/>
        <v>10</v>
      </c>
      <c r="N48" s="32">
        <f t="shared" si="1"/>
        <v>15</v>
      </c>
      <c r="O48" s="11">
        <f>E48*POWER(MUmaster,SIGN(D48))*POWER(KLmaster,SIGN(E48))*POWER(INmaster,SIGN(F48))*POWER(CHmaster,SIGN(G48))*POWER(FFmaster,SIGN(H48))*POWER(GEmaster,SIGN(I48))*POWER(KOmaster,SIGN(J48))*POWER(KKmaster,SIGN(K48))+E48*POWER(MUmaster,SIGN(D48))*POWER(KLmaster,SIGN(E48))*POWER(INmaster,SIGN(F48))*POWER(CHmaster,SIGN(G48))*POWER(FFmaster,SIGN(H48))*POWER(GEmaster,SIGN(I48))*POWER(KOmaster,SIGN(J48))*POWER(KKmaster,SIGN(K48))+F48*POWER(MUmaster,SIGN(D48))*POWER(KLmaster,SIGN(E48))*POWER(INmaster,SIGN(F48))*POWER(CHmaster,SIGN(G48))*POWER(FFmaster,SIGN(H48))*POWER(GEmaster,SIGN(I48))*POWER(KKmaster,SIGN(K48))*POWER(KLmaster,SIGN(E48))/POWER(INmaster,SIGN(F48))</f>
        <v>2940</v>
      </c>
      <c r="P48" s="11">
        <f>E48*E48*INmaster+E48*KLmaster*F48+KLmaster*E48*F48</f>
        <v>1050</v>
      </c>
      <c r="Q48" s="22">
        <f t="shared" ref="Q48:Q54" si="19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18"/>
        <v>4115</v>
      </c>
      <c r="S48" s="33">
        <f t="shared" si="3"/>
        <v>3.5722964763061968</v>
      </c>
      <c r="T48" s="26">
        <f t="shared" si="4"/>
        <v>2.5516403402187122</v>
      </c>
      <c r="U48" s="34">
        <f t="shared" si="5"/>
        <v>0.45565006075334141</v>
      </c>
      <c r="V48" s="79">
        <f t="shared" si="6"/>
        <v>6.57958687727825</v>
      </c>
      <c r="W48" s="123">
        <v>0</v>
      </c>
      <c r="X48" s="4">
        <f t="shared" si="7"/>
        <v>6.57958687727825</v>
      </c>
      <c r="Y48" s="72">
        <f t="shared" si="8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C48" s="11"/>
    </row>
    <row r="49" spans="1:29" outlineLevel="1">
      <c r="A49" s="17" t="s">
        <v>45</v>
      </c>
      <c r="B49" s="9" t="s">
        <v>98</v>
      </c>
      <c r="C49" s="68" t="s">
        <v>138</v>
      </c>
      <c r="D49" s="20"/>
      <c r="E49" s="21">
        <f t="shared" si="16"/>
        <v>5</v>
      </c>
      <c r="F49" s="21"/>
      <c r="G49" s="21"/>
      <c r="H49" s="21">
        <f>Konvention_1master-FFmaster</f>
        <v>6</v>
      </c>
      <c r="I49" s="21"/>
      <c r="J49" s="21"/>
      <c r="K49" s="22"/>
      <c r="L49" s="27">
        <f>(E49+E49+H49)/3</f>
        <v>5.333333333333333</v>
      </c>
      <c r="M49" s="27">
        <f t="shared" si="0"/>
        <v>10.666666666666666</v>
      </c>
      <c r="N49" s="32">
        <f t="shared" si="1"/>
        <v>16</v>
      </c>
      <c r="O49" s="11">
        <f>E49*POWER(MUmaster,SIGN(D49))*POWER(KLmaster,SIGN(E49))*POWER(INmaster,SIGN(F49))*POWER(CHmaster,SIGN(G49))*POWER(FFmaster,SIGN(H49))*POWER(GEmaster,SIGN(I49))*POWER(KOmaster,SIGN(J49))*POWER(KKmaster,SIGN(K49))+E49*POWER(MUmaster,SIGN(D49))*POWER(KLmaster,SIGN(E49))*POWER(INmaster,SIGN(F49))*POWER(CHmaster,SIGN(G49))*POWER(FFmaster,SIGN(H49))*POWER(GEmaster,SIGN(I49))*POWER(KOmaster,SIGN(J49))*POWER(KKmaster,SIGN(K49))+H49*POWER(MUmaster,SIGN(D49))*POWER(KLmaster,SIGN(E49))*POWER(INmaster,SIGN(F49))*POWER(CHmaster,SIGN(G49))*POWER(FFmaster,SIGN(H49))*POWER(GEmaster,SIGN(I49))*POWER(KKmaster,SIGN(K49))*POWER(KLmaster,SIGN(E49))/POWER(FFmaster,SIGN(H49))</f>
        <v>2996</v>
      </c>
      <c r="P49" s="11">
        <f>E49*E49*FFmaster+E49*KLmaster*H49+KLmaster*E49*H49</f>
        <v>1165</v>
      </c>
      <c r="Q49" s="22">
        <f t="shared" si="19"/>
        <v>150</v>
      </c>
      <c r="R49" s="20">
        <f t="shared" si="18"/>
        <v>4311</v>
      </c>
      <c r="S49" s="33">
        <f t="shared" si="3"/>
        <v>3.7064872806000153</v>
      </c>
      <c r="T49" s="26">
        <f t="shared" si="4"/>
        <v>2.8825485192917344</v>
      </c>
      <c r="U49" s="34">
        <f t="shared" si="5"/>
        <v>0.55671537926235215</v>
      </c>
      <c r="V49" s="79">
        <f t="shared" si="6"/>
        <v>7.145751179154102</v>
      </c>
      <c r="W49" s="123">
        <v>0</v>
      </c>
      <c r="X49" s="4">
        <f t="shared" si="7"/>
        <v>7.145751179154102</v>
      </c>
      <c r="Y49" s="72">
        <f t="shared" si="8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C49" s="11"/>
    </row>
    <row r="50" spans="1:29" outlineLevel="1">
      <c r="A50" s="17" t="s">
        <v>46</v>
      </c>
      <c r="B50" s="9" t="s">
        <v>96</v>
      </c>
      <c r="C50" s="68" t="s">
        <v>139</v>
      </c>
      <c r="D50" s="20"/>
      <c r="E50" s="21">
        <f t="shared" si="16"/>
        <v>5</v>
      </c>
      <c r="F50" s="21">
        <f>Konvention_1master-INmaster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0"/>
        <v>10</v>
      </c>
      <c r="N50" s="32">
        <f t="shared" si="1"/>
        <v>15</v>
      </c>
      <c r="O50" s="11">
        <f>E50*POWER(MUmaster,SIGN(D50))*POWER(KLmaster,SIGN(E50))*POWER(INmaster,SIGN(F50))*POWER(CHmaster,SIGN(G50))*POWER(FFmaster,SIGN(H50))*POWER(GEmaster,SIGN(I50))*POWER(KOmaster,SIGN(J50))*POWER(KKmaster,SIGN(K50))+E50*POWER(MUmaster,SIGN(D50))*POWER(KLmaster,SIGN(E50))*POWER(INmaster,SIGN(F50))*POWER(CHmaster,SIGN(G50))*POWER(FFmaster,SIGN(H50))*POWER(GEmaster,SIGN(I50))*POWER(KOmaster,SIGN(J50))*POWER(KKmaster,SIGN(K50))+F50*POWER(MUmaster,SIGN(D50))*POWER(KLmaster,SIGN(E50))*POWER(INmaster,SIGN(F50))*POWER(CHmaster,SIGN(G50))*POWER(FFmaster,SIGN(H50))*POWER(GEmaster,SIGN(I50))*POWER(KKmaster,SIGN(K50))*POWER(KLmaster,SIGN(E50))/POWER(INmaster,SIGN(F50))</f>
        <v>2940</v>
      </c>
      <c r="P50" s="11">
        <f>E50*E50*INmaster+E50*KLmaster*F50+KLmaster*E50*F50</f>
        <v>1050</v>
      </c>
      <c r="Q50" s="22">
        <f t="shared" si="19"/>
        <v>125</v>
      </c>
      <c r="R50" s="20">
        <f t="shared" si="18"/>
        <v>4115</v>
      </c>
      <c r="S50" s="33">
        <f t="shared" si="3"/>
        <v>3.5722964763061968</v>
      </c>
      <c r="T50" s="26">
        <f t="shared" si="4"/>
        <v>2.5516403402187122</v>
      </c>
      <c r="U50" s="34">
        <f t="shared" si="5"/>
        <v>0.45565006075334141</v>
      </c>
      <c r="V50" s="79">
        <f t="shared" si="6"/>
        <v>6.57958687727825</v>
      </c>
      <c r="W50" s="123">
        <v>0</v>
      </c>
      <c r="X50" s="4">
        <f t="shared" si="7"/>
        <v>6.57958687727825</v>
      </c>
      <c r="Y50" s="72">
        <f t="shared" si="8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C50" s="11"/>
    </row>
    <row r="51" spans="1:29" outlineLevel="1">
      <c r="A51" s="17" t="s">
        <v>47</v>
      </c>
      <c r="B51" s="9" t="s">
        <v>96</v>
      </c>
      <c r="C51" s="68" t="s">
        <v>139</v>
      </c>
      <c r="D51" s="20"/>
      <c r="E51" s="21">
        <f t="shared" si="16"/>
        <v>5</v>
      </c>
      <c r="F51" s="21">
        <f>Konvention_1master-INmaster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0"/>
        <v>10</v>
      </c>
      <c r="N51" s="32">
        <f t="shared" si="1"/>
        <v>15</v>
      </c>
      <c r="O51" s="11">
        <f>E51*POWER(MUmaster,SIGN(D51))*POWER(KLmaster,SIGN(E51))*POWER(INmaster,SIGN(F51))*POWER(CHmaster,SIGN(G51))*POWER(FFmaster,SIGN(H51))*POWER(GEmaster,SIGN(I51))*POWER(KOmaster,SIGN(J51))*POWER(KKmaster,SIGN(K51))+E51*POWER(MUmaster,SIGN(D51))*POWER(KLmaster,SIGN(E51))*POWER(INmaster,SIGN(F51))*POWER(CHmaster,SIGN(G51))*POWER(FFmaster,SIGN(H51))*POWER(GEmaster,SIGN(I51))*POWER(KOmaster,SIGN(J51))*POWER(KKmaster,SIGN(K51))+F51*POWER(MUmaster,SIGN(D51))*POWER(KLmaster,SIGN(E51))*POWER(INmaster,SIGN(F51))*POWER(CHmaster,SIGN(G51))*POWER(FFmaster,SIGN(H51))*POWER(GEmaster,SIGN(I51))*POWER(KKmaster,SIGN(K51))*POWER(KLmaster,SIGN(E51))/POWER(INmaster,SIGN(F51))</f>
        <v>2940</v>
      </c>
      <c r="P51" s="11">
        <f>E51*E51*INmaster+E51*KLmaster*F51+KLmaster*E51*F51</f>
        <v>1050</v>
      </c>
      <c r="Q51" s="22">
        <f t="shared" si="19"/>
        <v>125</v>
      </c>
      <c r="R51" s="20">
        <f t="shared" si="18"/>
        <v>4115</v>
      </c>
      <c r="S51" s="33">
        <f t="shared" si="3"/>
        <v>3.5722964763061968</v>
      </c>
      <c r="T51" s="26">
        <f t="shared" si="4"/>
        <v>2.5516403402187122</v>
      </c>
      <c r="U51" s="34">
        <f t="shared" si="5"/>
        <v>0.45565006075334141</v>
      </c>
      <c r="V51" s="79">
        <f t="shared" si="6"/>
        <v>6.57958687727825</v>
      </c>
      <c r="W51" s="123">
        <v>0</v>
      </c>
      <c r="X51" s="4">
        <f t="shared" si="7"/>
        <v>6.57958687727825</v>
      </c>
      <c r="Y51" s="72">
        <f t="shared" si="8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C51" s="11"/>
    </row>
    <row r="52" spans="1:29" outlineLevel="1">
      <c r="A52" s="17" t="s">
        <v>48</v>
      </c>
      <c r="B52" s="9" t="s">
        <v>96</v>
      </c>
      <c r="C52" s="68" t="s">
        <v>138</v>
      </c>
      <c r="D52" s="20"/>
      <c r="E52" s="21">
        <f t="shared" si="16"/>
        <v>5</v>
      </c>
      <c r="F52" s="21">
        <f>Konvention_1master-INmaster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0"/>
        <v>10</v>
      </c>
      <c r="N52" s="32">
        <f t="shared" si="1"/>
        <v>15</v>
      </c>
      <c r="O52" s="11">
        <f>E52*POWER(MUmaster,SIGN(D52))*POWER(KLmaster,SIGN(E52))*POWER(INmaster,SIGN(F52))*POWER(CHmaster,SIGN(G52))*POWER(FFmaster,SIGN(H52))*POWER(GEmaster,SIGN(I52))*POWER(KOmaster,SIGN(J52))*POWER(KKmaster,SIGN(K52))+E52*POWER(MUmaster,SIGN(D52))*POWER(KLmaster,SIGN(E52))*POWER(INmaster,SIGN(F52))*POWER(CHmaster,SIGN(G52))*POWER(FFmaster,SIGN(H52))*POWER(GEmaster,SIGN(I52))*POWER(KOmaster,SIGN(J52))*POWER(KKmaster,SIGN(K52))+F52*POWER(MUmaster,SIGN(D52))*POWER(KLmaster,SIGN(E52))*POWER(INmaster,SIGN(F52))*POWER(CHmaster,SIGN(G52))*POWER(FFmaster,SIGN(H52))*POWER(GEmaster,SIGN(I52))*POWER(KKmaster,SIGN(K52))*POWER(KLmaster,SIGN(E52))/POWER(INmaster,SIGN(F52))</f>
        <v>2940</v>
      </c>
      <c r="P52" s="11">
        <f>E52*E52*INmaster+E52*KLmaster*F52+KLmaster*E52*F52</f>
        <v>1050</v>
      </c>
      <c r="Q52" s="22">
        <f t="shared" si="19"/>
        <v>125</v>
      </c>
      <c r="R52" s="20">
        <f t="shared" si="18"/>
        <v>4115</v>
      </c>
      <c r="S52" s="33">
        <f t="shared" si="3"/>
        <v>3.5722964763061968</v>
      </c>
      <c r="T52" s="26">
        <f t="shared" si="4"/>
        <v>2.5516403402187122</v>
      </c>
      <c r="U52" s="34">
        <f t="shared" si="5"/>
        <v>0.45565006075334141</v>
      </c>
      <c r="V52" s="79">
        <f t="shared" si="6"/>
        <v>6.57958687727825</v>
      </c>
      <c r="W52" s="123">
        <v>0</v>
      </c>
      <c r="X52" s="4">
        <f t="shared" si="7"/>
        <v>6.57958687727825</v>
      </c>
      <c r="Y52" s="72">
        <f t="shared" si="8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C52" s="11"/>
    </row>
    <row r="53" spans="1:29" outlineLevel="1">
      <c r="A53" s="17" t="s">
        <v>49</v>
      </c>
      <c r="B53" s="9" t="s">
        <v>96</v>
      </c>
      <c r="C53" s="68" t="s">
        <v>138</v>
      </c>
      <c r="D53" s="20"/>
      <c r="E53" s="21">
        <f t="shared" si="16"/>
        <v>5</v>
      </c>
      <c r="F53" s="21">
        <f>Konvention_1master-INmaster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0"/>
        <v>10</v>
      </c>
      <c r="N53" s="32">
        <f t="shared" si="1"/>
        <v>15</v>
      </c>
      <c r="O53" s="11">
        <f>E53*POWER(MUmaster,SIGN(D53))*POWER(KLmaster,SIGN(E53))*POWER(INmaster,SIGN(F53))*POWER(CHmaster,SIGN(G53))*POWER(FFmaster,SIGN(H53))*POWER(GEmaster,SIGN(I53))*POWER(KOmaster,SIGN(J53))*POWER(KKmaster,SIGN(K53))+E53*POWER(MUmaster,SIGN(D53))*POWER(KLmaster,SIGN(E53))*POWER(INmaster,SIGN(F53))*POWER(CHmaster,SIGN(G53))*POWER(FFmaster,SIGN(H53))*POWER(GEmaster,SIGN(I53))*POWER(KOmaster,SIGN(J53))*POWER(KKmaster,SIGN(K53))+F53*POWER(MUmaster,SIGN(D53))*POWER(KLmaster,SIGN(E53))*POWER(INmaster,SIGN(F53))*POWER(CHmaster,SIGN(G53))*POWER(FFmaster,SIGN(H53))*POWER(GEmaster,SIGN(I53))*POWER(KKmaster,SIGN(K53))*POWER(KLmaster,SIGN(E53))/POWER(INmaster,SIGN(F53))</f>
        <v>2940</v>
      </c>
      <c r="P53" s="11">
        <f>E53*E53*INmaster+E53*KLmaster*F53+KLmaster*E53*F53</f>
        <v>1050</v>
      </c>
      <c r="Q53" s="22">
        <f t="shared" si="19"/>
        <v>125</v>
      </c>
      <c r="R53" s="20">
        <f t="shared" si="18"/>
        <v>4115</v>
      </c>
      <c r="S53" s="33">
        <f t="shared" si="3"/>
        <v>3.5722964763061968</v>
      </c>
      <c r="T53" s="26">
        <f t="shared" si="4"/>
        <v>2.5516403402187122</v>
      </c>
      <c r="U53" s="34">
        <f t="shared" si="5"/>
        <v>0.45565006075334141</v>
      </c>
      <c r="V53" s="79">
        <f t="shared" si="6"/>
        <v>6.57958687727825</v>
      </c>
      <c r="W53" s="123">
        <v>0</v>
      </c>
      <c r="X53" s="4">
        <f t="shared" si="7"/>
        <v>6.57958687727825</v>
      </c>
      <c r="Y53" s="72">
        <f t="shared" si="8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C53" s="11"/>
    </row>
    <row r="54" spans="1:29" ht="15.75" outlineLevel="1" thickBot="1">
      <c r="A54" s="40" t="s">
        <v>50</v>
      </c>
      <c r="B54" s="10" t="s">
        <v>96</v>
      </c>
      <c r="C54" s="59" t="s">
        <v>139</v>
      </c>
      <c r="D54" s="24"/>
      <c r="E54" s="19">
        <f t="shared" si="16"/>
        <v>5</v>
      </c>
      <c r="F54" s="19">
        <f>Konvention_1master-INmaster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0"/>
        <v>10</v>
      </c>
      <c r="N54" s="36">
        <f t="shared" si="1"/>
        <v>15</v>
      </c>
      <c r="O54" s="19">
        <f>E54*POWER(MUmaster,SIGN(D54))*POWER(KLmaster,SIGN(E54))*POWER(INmaster,SIGN(F54))*POWER(CHmaster,SIGN(G54))*POWER(FFmaster,SIGN(H54))*POWER(GEmaster,SIGN(I54))*POWER(KOmaster,SIGN(J54))*POWER(KKmaster,SIGN(K54))+E54*POWER(MUmaster,SIGN(D54))*POWER(KLmaster,SIGN(E54))*POWER(INmaster,SIGN(F54))*POWER(CHmaster,SIGN(G54))*POWER(FFmaster,SIGN(H54))*POWER(GEmaster,SIGN(I54))*POWER(KOmaster,SIGN(J54))*POWER(KKmaster,SIGN(K54))+F54*POWER(MUmaster,SIGN(D54))*POWER(KLmaster,SIGN(E54))*POWER(INmaster,SIGN(F54))*POWER(CHmaster,SIGN(G54))*POWER(FFmaster,SIGN(H54))*POWER(GEmaster,SIGN(I54))*POWER(KKmaster,SIGN(K54))*POWER(KLmaster,SIGN(E54))/POWER(INmaster,SIGN(F54))</f>
        <v>2940</v>
      </c>
      <c r="P54" s="19">
        <f>E54*E54*INmaster+E54*KLmaster*F54+KLmaster*E54*F54</f>
        <v>1050</v>
      </c>
      <c r="Q54" s="23">
        <f t="shared" si="19"/>
        <v>125</v>
      </c>
      <c r="R54" s="24">
        <f>SUM(O54:Q54)</f>
        <v>4115</v>
      </c>
      <c r="S54" s="37">
        <f t="shared" si="3"/>
        <v>3.5722964763061968</v>
      </c>
      <c r="T54" s="25">
        <f t="shared" si="4"/>
        <v>2.5516403402187122</v>
      </c>
      <c r="U54" s="38">
        <f t="shared" si="5"/>
        <v>0.45565006075334141</v>
      </c>
      <c r="V54" s="80">
        <f t="shared" si="6"/>
        <v>6.57958687727825</v>
      </c>
      <c r="W54" s="123">
        <v>0</v>
      </c>
      <c r="X54" s="5">
        <f t="shared" si="7"/>
        <v>6.57958687727825</v>
      </c>
      <c r="Y54" s="73">
        <f t="shared" si="8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C54" s="11"/>
    </row>
    <row r="55" spans="1:29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C55" s="11"/>
    </row>
    <row r="56" spans="1:29" outlineLevel="1">
      <c r="A56" s="17" t="s">
        <v>51</v>
      </c>
      <c r="B56" s="8" t="s">
        <v>99</v>
      </c>
      <c r="C56" s="64" t="s">
        <v>141</v>
      </c>
      <c r="D56" s="60">
        <f>Konvention_1master-MUmaster</f>
        <v>5</v>
      </c>
      <c r="E56" s="61">
        <f>Konvention_1master-KLmaster</f>
        <v>5</v>
      </c>
      <c r="F56" s="61"/>
      <c r="G56" s="61"/>
      <c r="H56" s="61">
        <f>Konvention_1master-FFmaster</f>
        <v>6</v>
      </c>
      <c r="I56" s="61"/>
      <c r="J56" s="61"/>
      <c r="K56" s="62"/>
      <c r="L56" s="27">
        <f t="shared" ref="L56:L62" si="20">(D56+E56+F56+G56+H56+I56+J56+K56)/3</f>
        <v>5.333333333333333</v>
      </c>
      <c r="M56" s="27">
        <f t="shared" si="0"/>
        <v>10.666666666666666</v>
      </c>
      <c r="N56" s="28">
        <f t="shared" si="1"/>
        <v>16</v>
      </c>
      <c r="O56" s="11">
        <f t="shared" ref="O56:O62" si="21">D56*POWER(KLmaster,SIGN(E56))*POWER(INmaster,SIGN(F56))*POWER(CHmaster,SIGN(G56))*POWER(FFmaster,SIGN(H56))*POWER(GEmaster,SIGN(I56))*POWER(KOmaster,SIGN(J56))*POWER(KKmaster,SIGN(K56))+E56*POWER(MUmaster,SIGN(D56))*POWER(INmaster,SIGN(F56))*POWER(CHmaster,SIGN(G56))*POWER(FFmaster,SIGN(H56))*POWER(GEmaster,SIGN(I56))*POWER(KOmaster,SIGN(J56))*POWER(KKmaster,SIGN(K56))+F56*POWER(MUmaster,SIGN(D56))*POWER(KLmaster,SIGN(E56))*POWER(CHmaster,SIGN(G56))*POWER(FFmaster,SIGN(H56))*POWER(GEmaster,SIGN(I56))*POWER(KOmaster,SIGN(J56))*POWER(KKmaster,SIGN(K56))+G56*POWER(MUmaster,SIGN(D56))*POWER(KLmaster,SIGN(E56))*POWER(INmaster,SIGN(F56))*POWER(FFmaster,SIGN(H56))*POWER(GEmaster,SIGN(I56))*POWER(KOmaster,SIGN(J56))*POWER(KKmaster,SIGN(K56))+H56*POWER(MUmaster,SIGN(D56))*POWER(KLmaster,SIGN(E56))*POWER(INmaster,SIGN(F56))*POWER(CHmaster,SIGN(G56))*POWER(GEmaster,SIGN(I56))*POWER(KOmaster,SIGN(J56))*POWER(KKmaster,SIGN(K56))+I56*POWER(MUmaster,SIGN(D56))*POWER(KLmaster,SIGN(E56))*POWER(INmaster,SIGN(F56))*POWER(CHmaster,SIGN(G56))*POWER(FFmaster,SIGN(H56))*POWER(KOmaster,SIGN(J56))*POWER(KKmaster,SIGN(K56))+J56*POWER(MUmaster,SIGN(D56))*POWER(KLmaster,SIGN(E56))*POWER(INmaster,SIGN(F56))*POWER(CHmaster,SIGN(G56))*POWER(FFmaster,SIGN(H56))*POWER(GEmaster,SIGN(I56))*POWER(KKmaster,SIGN(K56))+K56*POWER(MUmaster,SIGN(D56))*POWER(KLmaster,SIGN(E56))*POWER(INmaster,SIGN(F56))*POWER(CHmaster,SIGN(G56))*POWER(FFmaster,SIGN(H56))*POWER(GEmaster,SIGN(I56))*POWER(KOmaster,SIGN(J56))</f>
        <v>2996</v>
      </c>
      <c r="P56" s="11">
        <f>D56*E56*FFmaster+D56*KLmaster*H56+MUmaster*E56*H56</f>
        <v>1165</v>
      </c>
      <c r="Q56" s="62">
        <f t="shared" si="2"/>
        <v>150</v>
      </c>
      <c r="R56" s="60">
        <f>SUM(O56:Q56)</f>
        <v>4311</v>
      </c>
      <c r="S56" s="29">
        <f t="shared" si="3"/>
        <v>3.7064872806000153</v>
      </c>
      <c r="T56" s="30">
        <f t="shared" si="4"/>
        <v>2.8825485192917344</v>
      </c>
      <c r="U56" s="31">
        <f t="shared" si="5"/>
        <v>0.55671537926235215</v>
      </c>
      <c r="V56" s="78">
        <f t="shared" si="6"/>
        <v>7.145751179154102</v>
      </c>
      <c r="W56" s="123">
        <v>0</v>
      </c>
      <c r="X56" s="3">
        <f t="shared" si="7"/>
        <v>7.145751179154102</v>
      </c>
      <c r="Y56" s="71">
        <f t="shared" si="8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21.437253537462304</v>
      </c>
      <c r="AC56" s="11"/>
    </row>
    <row r="57" spans="1:29" outlineLevel="1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Konvention_1master-FFmaster</f>
        <v>6</v>
      </c>
      <c r="I57" s="21">
        <f>Konvention_1master-GEmaster</f>
        <v>7</v>
      </c>
      <c r="J57" s="21"/>
      <c r="K57" s="22">
        <f>Konvention_1master-KKmaster</f>
        <v>11</v>
      </c>
      <c r="L57" s="27">
        <f t="shared" si="20"/>
        <v>8</v>
      </c>
      <c r="M57" s="27">
        <f t="shared" si="0"/>
        <v>16</v>
      </c>
      <c r="N57" s="32">
        <f t="shared" si="1"/>
        <v>24</v>
      </c>
      <c r="O57" s="11">
        <f t="shared" si="21"/>
        <v>3020</v>
      </c>
      <c r="P57" s="11">
        <f>H57*I57*KKmaster+H57*GEmaster*K57+FFmaster*I57*K57</f>
        <v>2129</v>
      </c>
      <c r="Q57" s="22">
        <f t="shared" si="2"/>
        <v>462</v>
      </c>
      <c r="R57" s="20">
        <f t="shared" ref="R57:R71" si="22">SUM(O57:Q57)</f>
        <v>5611</v>
      </c>
      <c r="S57" s="33">
        <f t="shared" si="3"/>
        <v>4.3058278381750137</v>
      </c>
      <c r="T57" s="26">
        <f t="shared" si="4"/>
        <v>6.0709320976653007</v>
      </c>
      <c r="U57" s="34">
        <f t="shared" si="5"/>
        <v>1.9761183389770094</v>
      </c>
      <c r="V57" s="79">
        <f t="shared" si="6"/>
        <v>12.352878274817325</v>
      </c>
      <c r="W57" s="123">
        <v>0</v>
      </c>
      <c r="X57" s="4">
        <f t="shared" si="7"/>
        <v>12.352878274817325</v>
      </c>
      <c r="Y57" s="72">
        <f t="shared" si="8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25.4115130992693</v>
      </c>
      <c r="AC57" s="11"/>
    </row>
    <row r="58" spans="1:29" outlineLevel="1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Konvention_1master-CHmaster</f>
        <v>7</v>
      </c>
      <c r="H58" s="21">
        <f>Konvention_1master-FFmaster</f>
        <v>6</v>
      </c>
      <c r="I58" s="21"/>
      <c r="J58" s="21">
        <f>Konvention_1master-KOmaster</f>
        <v>6</v>
      </c>
      <c r="K58" s="22"/>
      <c r="L58" s="27">
        <f t="shared" si="20"/>
        <v>6.333333333333333</v>
      </c>
      <c r="M58" s="27">
        <f t="shared" si="0"/>
        <v>12.666666666666666</v>
      </c>
      <c r="N58" s="32">
        <f t="shared" si="1"/>
        <v>19</v>
      </c>
      <c r="O58" s="11">
        <f t="shared" si="21"/>
        <v>3055</v>
      </c>
      <c r="P58" s="11">
        <f>G58*H58*KOmaster+G58*FFmaster*J58+CHmaster*H58*J58</f>
        <v>1524</v>
      </c>
      <c r="Q58" s="22">
        <f t="shared" si="2"/>
        <v>252</v>
      </c>
      <c r="R58" s="20">
        <f t="shared" si="22"/>
        <v>4831</v>
      </c>
      <c r="S58" s="33">
        <f t="shared" si="3"/>
        <v>4.0050369143724556</v>
      </c>
      <c r="T58" s="26">
        <f t="shared" si="4"/>
        <v>3.9958600703788036</v>
      </c>
      <c r="U58" s="34">
        <f t="shared" si="5"/>
        <v>0.99109915131442761</v>
      </c>
      <c r="V58" s="79">
        <f t="shared" si="6"/>
        <v>8.991996136065687</v>
      </c>
      <c r="W58" s="123">
        <v>0</v>
      </c>
      <c r="X58" s="4">
        <f t="shared" si="7"/>
        <v>8.991996136065687</v>
      </c>
      <c r="Y58" s="72">
        <f t="shared" si="8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8.991996136065687</v>
      </c>
      <c r="AC58" s="11"/>
    </row>
    <row r="59" spans="1:29" outlineLevel="1">
      <c r="A59" s="17" t="s">
        <v>53</v>
      </c>
      <c r="B59" s="9" t="s">
        <v>89</v>
      </c>
      <c r="C59" s="68" t="s">
        <v>138</v>
      </c>
      <c r="D59" s="20"/>
      <c r="E59" s="21">
        <f>Konvention_1master-KLmaster</f>
        <v>5</v>
      </c>
      <c r="F59" s="21">
        <f>Konvention_1master-INmaster</f>
        <v>5</v>
      </c>
      <c r="G59" s="21">
        <f>Konvention_1master-CHmaster</f>
        <v>7</v>
      </c>
      <c r="H59" s="21"/>
      <c r="I59" s="21"/>
      <c r="J59" s="21"/>
      <c r="K59" s="22"/>
      <c r="L59" s="27">
        <f t="shared" si="20"/>
        <v>5.666666666666667</v>
      </c>
      <c r="M59" s="27">
        <f t="shared" si="0"/>
        <v>11.333333333333334</v>
      </c>
      <c r="N59" s="32">
        <f t="shared" si="1"/>
        <v>17</v>
      </c>
      <c r="O59" s="11">
        <f t="shared" si="21"/>
        <v>3052</v>
      </c>
      <c r="P59" s="11">
        <f>E59*F59*CHmaster+E59*INmaster*G59+KLmaster*F59*G59</f>
        <v>1280</v>
      </c>
      <c r="Q59" s="22">
        <f t="shared" si="2"/>
        <v>175</v>
      </c>
      <c r="R59" s="20">
        <f t="shared" si="22"/>
        <v>4507</v>
      </c>
      <c r="S59" s="33">
        <f t="shared" si="3"/>
        <v>3.8372901412617413</v>
      </c>
      <c r="T59" s="26">
        <f t="shared" si="4"/>
        <v>3.2186968419495603</v>
      </c>
      <c r="U59" s="34">
        <f t="shared" si="5"/>
        <v>0.66008431329043715</v>
      </c>
      <c r="V59" s="79">
        <f t="shared" si="6"/>
        <v>7.7160712965017391</v>
      </c>
      <c r="W59" s="123">
        <v>0</v>
      </c>
      <c r="X59" s="4">
        <f t="shared" si="7"/>
        <v>7.7160712965017391</v>
      </c>
      <c r="Y59" s="72">
        <f t="shared" si="8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15.432142593003478</v>
      </c>
      <c r="AC59" s="11"/>
    </row>
    <row r="60" spans="1:29" outlineLevel="1">
      <c r="A60" s="17" t="s">
        <v>65</v>
      </c>
      <c r="B60" s="9" t="s">
        <v>97</v>
      </c>
      <c r="C60" s="68" t="s">
        <v>138</v>
      </c>
      <c r="D60" s="20">
        <f>Konvention_1master-MUmaster</f>
        <v>5</v>
      </c>
      <c r="E60" s="21">
        <f>Konvention_1master-KLmaster</f>
        <v>5</v>
      </c>
      <c r="F60" s="21">
        <f>Konvention_1master-INmaster</f>
        <v>5</v>
      </c>
      <c r="G60" s="21"/>
      <c r="H60" s="21"/>
      <c r="I60" s="21"/>
      <c r="J60" s="21"/>
      <c r="K60" s="22"/>
      <c r="L60" s="27">
        <f t="shared" si="20"/>
        <v>5</v>
      </c>
      <c r="M60" s="27">
        <f t="shared" si="0"/>
        <v>10</v>
      </c>
      <c r="N60" s="32">
        <f t="shared" si="1"/>
        <v>15</v>
      </c>
      <c r="O60" s="11">
        <f t="shared" si="21"/>
        <v>2940</v>
      </c>
      <c r="P60" s="11">
        <f>D60*E60*INmaster+D60*KLmaster*F60+MUmaster*E60*F60</f>
        <v>1050</v>
      </c>
      <c r="Q60" s="22">
        <f t="shared" si="2"/>
        <v>125</v>
      </c>
      <c r="R60" s="20">
        <f t="shared" si="22"/>
        <v>4115</v>
      </c>
      <c r="S60" s="33">
        <f t="shared" si="3"/>
        <v>3.5722964763061968</v>
      </c>
      <c r="T60" s="26">
        <f t="shared" si="4"/>
        <v>2.5516403402187122</v>
      </c>
      <c r="U60" s="34">
        <f t="shared" si="5"/>
        <v>0.45565006075334141</v>
      </c>
      <c r="V60" s="79">
        <f t="shared" si="6"/>
        <v>6.57958687727825</v>
      </c>
      <c r="W60" s="123">
        <v>0</v>
      </c>
      <c r="X60" s="4">
        <f t="shared" si="7"/>
        <v>6.57958687727825</v>
      </c>
      <c r="Y60" s="72">
        <f t="shared" si="8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13.1591737545565</v>
      </c>
      <c r="AC60" s="11"/>
    </row>
    <row r="61" spans="1:29" outlineLevel="1">
      <c r="A61" s="17" t="s">
        <v>54</v>
      </c>
      <c r="B61" s="9" t="s">
        <v>102</v>
      </c>
      <c r="C61" s="68" t="s">
        <v>138</v>
      </c>
      <c r="D61" s="20">
        <f>Konvention_1master-MUmaster</f>
        <v>5</v>
      </c>
      <c r="E61" s="21"/>
      <c r="F61" s="21">
        <f>Konvention_1master-INmaster</f>
        <v>5</v>
      </c>
      <c r="G61" s="21"/>
      <c r="H61" s="21"/>
      <c r="I61" s="21"/>
      <c r="J61" s="21">
        <f>Konvention_1master-KOmaster</f>
        <v>6</v>
      </c>
      <c r="K61" s="22"/>
      <c r="L61" s="27">
        <f t="shared" si="20"/>
        <v>5.333333333333333</v>
      </c>
      <c r="M61" s="27">
        <f t="shared" si="0"/>
        <v>10.666666666666666</v>
      </c>
      <c r="N61" s="32">
        <f t="shared" si="1"/>
        <v>16</v>
      </c>
      <c r="O61" s="11">
        <f t="shared" si="21"/>
        <v>2996</v>
      </c>
      <c r="P61" s="11">
        <f>D61*F61*KOmaster+D61*INmaster*J61+MUmaster*F61*J61</f>
        <v>1165</v>
      </c>
      <c r="Q61" s="22">
        <f t="shared" si="2"/>
        <v>150</v>
      </c>
      <c r="R61" s="20">
        <f t="shared" si="22"/>
        <v>4311</v>
      </c>
      <c r="S61" s="33">
        <f t="shared" si="3"/>
        <v>3.7064872806000153</v>
      </c>
      <c r="T61" s="26">
        <f t="shared" si="4"/>
        <v>2.8825485192917344</v>
      </c>
      <c r="U61" s="34">
        <f t="shared" si="5"/>
        <v>0.55671537926235215</v>
      </c>
      <c r="V61" s="79">
        <f t="shared" si="6"/>
        <v>7.145751179154102</v>
      </c>
      <c r="W61" s="123">
        <v>0</v>
      </c>
      <c r="X61" s="4">
        <f t="shared" si="7"/>
        <v>7.145751179154102</v>
      </c>
      <c r="Y61" s="72">
        <f t="shared" si="8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14.291502358308204</v>
      </c>
      <c r="AC61" s="11"/>
    </row>
    <row r="62" spans="1:29" outlineLevel="1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Konvention_1master-INmaster</f>
        <v>5</v>
      </c>
      <c r="G62" s="21">
        <f>Konvention_1master-CHmaster</f>
        <v>7</v>
      </c>
      <c r="H62" s="21"/>
      <c r="I62" s="21"/>
      <c r="J62" s="21">
        <f>Konvention_1master-KOmaster</f>
        <v>6</v>
      </c>
      <c r="K62" s="22"/>
      <c r="L62" s="27">
        <f t="shared" si="20"/>
        <v>6</v>
      </c>
      <c r="M62" s="27">
        <f t="shared" si="0"/>
        <v>12</v>
      </c>
      <c r="N62" s="32">
        <f t="shared" si="1"/>
        <v>18</v>
      </c>
      <c r="O62" s="11">
        <f t="shared" si="21"/>
        <v>3062</v>
      </c>
      <c r="P62" s="11">
        <f>F62*G62*KOmaster+F62*CHmaster*J62+INmaster*G62*J62</f>
        <v>1403</v>
      </c>
      <c r="Q62" s="22">
        <f t="shared" si="2"/>
        <v>210</v>
      </c>
      <c r="R62" s="20">
        <f t="shared" si="22"/>
        <v>4675</v>
      </c>
      <c r="S62" s="33">
        <f t="shared" si="3"/>
        <v>3.9298395721925132</v>
      </c>
      <c r="T62" s="26">
        <f t="shared" si="4"/>
        <v>3.6012834224598929</v>
      </c>
      <c r="U62" s="34">
        <f t="shared" si="5"/>
        <v>0.80855614973262036</v>
      </c>
      <c r="V62" s="79">
        <f t="shared" si="6"/>
        <v>8.3396791443850269</v>
      </c>
      <c r="W62" s="123">
        <v>0</v>
      </c>
      <c r="X62" s="4">
        <f t="shared" si="7"/>
        <v>8.3396791443850269</v>
      </c>
      <c r="Y62" s="72">
        <f t="shared" si="8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16.679358288770054</v>
      </c>
      <c r="AC62" s="11"/>
    </row>
    <row r="63" spans="1:29" outlineLevel="1">
      <c r="A63" s="17" t="s">
        <v>56</v>
      </c>
      <c r="B63" s="9" t="s">
        <v>104</v>
      </c>
      <c r="C63" s="68" t="s">
        <v>140</v>
      </c>
      <c r="D63" s="20"/>
      <c r="E63" s="21">
        <f>Konvention_1master-KLmaster</f>
        <v>5</v>
      </c>
      <c r="F63" s="21"/>
      <c r="G63" s="21"/>
      <c r="H63" s="21">
        <f t="shared" ref="H63:H72" si="23">Konvention_1master-FFmaster</f>
        <v>6</v>
      </c>
      <c r="I63" s="21"/>
      <c r="J63" s="21"/>
      <c r="K63" s="22"/>
      <c r="L63" s="27">
        <f>(E63+H63+H63)/3</f>
        <v>5.666666666666667</v>
      </c>
      <c r="M63" s="27">
        <f t="shared" si="0"/>
        <v>11.333333333333334</v>
      </c>
      <c r="N63" s="32">
        <f t="shared" si="1"/>
        <v>17</v>
      </c>
      <c r="O63" s="11">
        <f>H63*POWER(MUmaster,SIGN(D63))*POWER(KLmaster,SIGN(E63))*POWER(INmaster,SIGN(F63))*POWER(CHmaster,SIGN(G63))*POWER(FFmaster,SIGN(H63))*POWER(GEmaster,SIGN(I63))*POWER(KOmaster,SIGN(J63))*POWER(KKmaster,SIGN(K63))+H63*POWER(MUmaster,SIGN(D63))*POWER(KLmaster,SIGN(E63))*POWER(INmaster,SIGN(F63))*POWER(CHmaster,SIGN(G63))*POWER(FFmaster,SIGN(H63))*POWER(GEmaster,SIGN(I63))*POWER(KOmaster,SIGN(J63))*POWER(KKmaster,SIGN(K63))+E63*POWER(MUmaster,SIGN(D63))*POWER(KLmaster,SIGN(E63))*POWER(INmaster,SIGN(F63))*POWER(CHmaster,SIGN(G63))*POWER(FFmaster,SIGN(H63))*POWER(GEmaster,SIGN(I63))*POWER(KKmaster,SIGN(K63))*POWER(FFmaster,SIGN(H63))/POWER(KLmaster,SIGN(E63))</f>
        <v>3029</v>
      </c>
      <c r="P63" s="11">
        <f>E63*H63*FFmaster+E63*FFmaster*H63+KLmaster*H63*H63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2"/>
        <v>4493</v>
      </c>
      <c r="S63" s="33">
        <f t="shared" si="3"/>
        <v>3.8202388901253808</v>
      </c>
      <c r="T63" s="26">
        <f t="shared" si="4"/>
        <v>3.2388159359002895</v>
      </c>
      <c r="U63" s="34">
        <f t="shared" si="5"/>
        <v>0.68105942577342538</v>
      </c>
      <c r="V63" s="79">
        <f t="shared" si="6"/>
        <v>7.7401142517990964</v>
      </c>
      <c r="W63" s="123">
        <v>0</v>
      </c>
      <c r="X63" s="4">
        <f t="shared" si="7"/>
        <v>7.7401142517990964</v>
      </c>
      <c r="Y63" s="72">
        <f t="shared" si="8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C63" s="11"/>
    </row>
    <row r="64" spans="1:29" outlineLevel="1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3"/>
        <v>6</v>
      </c>
      <c r="I64" s="21">
        <f>Konvention_1master-GEmaster</f>
        <v>7</v>
      </c>
      <c r="J64" s="21"/>
      <c r="K64" s="22">
        <f>Konvention_1master-KKmaster</f>
        <v>11</v>
      </c>
      <c r="L64" s="27">
        <f>(D64+E64+F64+G64+H64+I64+J64+K64)/3</f>
        <v>8</v>
      </c>
      <c r="M64" s="27">
        <f t="shared" si="0"/>
        <v>16</v>
      </c>
      <c r="N64" s="32">
        <f t="shared" si="1"/>
        <v>24</v>
      </c>
      <c r="O64" s="11">
        <f>D64*POWER(KLmaster,SIGN(E64))*POWER(INmaster,SIGN(F64))*POWER(CHmaster,SIGN(G64))*POWER(FFmaster,SIGN(H64))*POWER(GEmaster,SIGN(I64))*POWER(KOmaster,SIGN(J64))*POWER(KKmaster,SIGN(K64))+E64*POWER(MUmaster,SIGN(D64))*POWER(INmaster,SIGN(F64))*POWER(CHmaster,SIGN(G64))*POWER(FFmaster,SIGN(H64))*POWER(GEmaster,SIGN(I64))*POWER(KOmaster,SIGN(J64))*POWER(KKmaster,SIGN(K64))+F64*POWER(MUmaster,SIGN(D64))*POWER(KLmaster,SIGN(E64))*POWER(CHmaster,SIGN(G64))*POWER(FFmaster,SIGN(H64))*POWER(GEmaster,SIGN(I64))*POWER(KOmaster,SIGN(J64))*POWER(KKmaster,SIGN(K64))+G64*POWER(MUmaster,SIGN(D64))*POWER(KLmaster,SIGN(E64))*POWER(INmaster,SIGN(F64))*POWER(FFmaster,SIGN(H64))*POWER(GEmaster,SIGN(I64))*POWER(KOmaster,SIGN(J64))*POWER(KKmaster,SIGN(K64))+H64*POWER(MUmaster,SIGN(D64))*POWER(KLmaster,SIGN(E64))*POWER(INmaster,SIGN(F64))*POWER(CHmaster,SIGN(G64))*POWER(GEmaster,SIGN(I64))*POWER(KOmaster,SIGN(J64))*POWER(KKmaster,SIGN(K64))+I64*POWER(MUmaster,SIGN(D64))*POWER(KLmaster,SIGN(E64))*POWER(INmaster,SIGN(F64))*POWER(CHmaster,SIGN(G64))*POWER(FFmaster,SIGN(H64))*POWER(KOmaster,SIGN(J64))*POWER(KKmaster,SIGN(K64))+J64*POWER(MUmaster,SIGN(D64))*POWER(KLmaster,SIGN(E64))*POWER(INmaster,SIGN(F64))*POWER(CHmaster,SIGN(G64))*POWER(FFmaster,SIGN(H64))*POWER(GEmaster,SIGN(I64))*POWER(KKmaster,SIGN(K64))+K64*POWER(MUmaster,SIGN(D64))*POWER(KLmaster,SIGN(E64))*POWER(INmaster,SIGN(F64))*POWER(CHmaster,SIGN(G64))*POWER(FFmaster,SIGN(H64))*POWER(GEmaster,SIGN(I64))*POWER(KOmaster,SIGN(J64))</f>
        <v>3020</v>
      </c>
      <c r="P64" s="11">
        <f>H64*I64*KKmaster+H64*GEmaster*K64+FFmaster*I64*K64</f>
        <v>2129</v>
      </c>
      <c r="Q64" s="22">
        <f t="shared" si="2"/>
        <v>462</v>
      </c>
      <c r="R64" s="20">
        <f t="shared" si="22"/>
        <v>5611</v>
      </c>
      <c r="S64" s="33">
        <f t="shared" si="3"/>
        <v>4.3058278381750137</v>
      </c>
      <c r="T64" s="26">
        <f t="shared" si="4"/>
        <v>6.0709320976653007</v>
      </c>
      <c r="U64" s="34">
        <f t="shared" si="5"/>
        <v>1.9761183389770094</v>
      </c>
      <c r="V64" s="79">
        <f t="shared" si="6"/>
        <v>12.352878274817325</v>
      </c>
      <c r="W64" s="123">
        <v>0</v>
      </c>
      <c r="X64" s="4">
        <f t="shared" si="7"/>
        <v>12.352878274817325</v>
      </c>
      <c r="Y64" s="72">
        <f t="shared" si="8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25.4115130992693</v>
      </c>
      <c r="AC64" s="11"/>
    </row>
    <row r="65" spans="1:29" outlineLevel="1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Konvention_1master-INmaster</f>
        <v>5</v>
      </c>
      <c r="G65" s="21"/>
      <c r="H65" s="21">
        <f t="shared" si="23"/>
        <v>6</v>
      </c>
      <c r="I65" s="21"/>
      <c r="J65" s="21"/>
      <c r="K65" s="22"/>
      <c r="L65" s="27">
        <f>(F65+H65+H65)/3</f>
        <v>5.666666666666667</v>
      </c>
      <c r="M65" s="27">
        <f t="shared" si="0"/>
        <v>11.333333333333334</v>
      </c>
      <c r="N65" s="32">
        <f t="shared" si="1"/>
        <v>17</v>
      </c>
      <c r="O65" s="11">
        <f>H65*POWER(MUmaster,SIGN(D65))*POWER(KLmaster,SIGN(E65))*POWER(INmaster,SIGN(F65))*POWER(CHmaster,SIGN(G65))*POWER(FFmaster,SIGN(H65))*POWER(GEmaster,SIGN(I65))*POWER(KOmaster,SIGN(J65))*POWER(KKmaster,SIGN(K65))+H65*POWER(MUmaster,SIGN(D65))*POWER(KLmaster,SIGN(E65))*POWER(INmaster,SIGN(F65))*POWER(CHmaster,SIGN(G65))*POWER(FFmaster,SIGN(H65))*POWER(GEmaster,SIGN(I65))*POWER(KOmaster,SIGN(J65))*POWER(KKmaster,SIGN(K65))+F65*POWER(MUmaster,SIGN(D65))*POWER(KLmaster,SIGN(E65))*POWER(INmaster,SIGN(F65))*POWER(CHmaster,SIGN(G65))*POWER(FFmaster,SIGN(H65))*POWER(GEmaster,SIGN(I65))*POWER(KKmaster,SIGN(K65))*POWER(FFmaster,SIGN(H65))/POWER(INmaster,SIGN(F65))</f>
        <v>3029</v>
      </c>
      <c r="P65" s="11">
        <f>F65*H65*FFmaster+F65*FFmaster*H65+INmaster*H65*H65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2"/>
        <v>4493</v>
      </c>
      <c r="S65" s="33">
        <f t="shared" si="3"/>
        <v>3.8202388901253808</v>
      </c>
      <c r="T65" s="26">
        <f t="shared" si="4"/>
        <v>3.2388159359002895</v>
      </c>
      <c r="U65" s="34">
        <f t="shared" si="5"/>
        <v>0.68105942577342538</v>
      </c>
      <c r="V65" s="79">
        <f t="shared" si="6"/>
        <v>7.7401142517990964</v>
      </c>
      <c r="W65" s="123">
        <v>0</v>
      </c>
      <c r="X65" s="4">
        <f t="shared" si="7"/>
        <v>7.7401142517990964</v>
      </c>
      <c r="Y65" s="72">
        <f t="shared" si="8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C65" s="11"/>
    </row>
    <row r="66" spans="1:29" outlineLevel="1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3"/>
        <v>6</v>
      </c>
      <c r="I66" s="21">
        <f>Konvention_1master-GEmaster</f>
        <v>7</v>
      </c>
      <c r="J66" s="21">
        <f>Konvention_1master-KOmaster</f>
        <v>6</v>
      </c>
      <c r="K66" s="22"/>
      <c r="L66" s="27">
        <f>(D66+E66+F66+G66+H66+I66+J66+K66)/3</f>
        <v>6.333333333333333</v>
      </c>
      <c r="M66" s="27">
        <f t="shared" si="0"/>
        <v>12.666666666666666</v>
      </c>
      <c r="N66" s="32">
        <f t="shared" si="1"/>
        <v>19</v>
      </c>
      <c r="O66" s="11">
        <f>D66*POWER(KLmaster,SIGN(E66))*POWER(INmaster,SIGN(F66))*POWER(CHmaster,SIGN(G66))*POWER(FFmaster,SIGN(H66))*POWER(GEmaster,SIGN(I66))*POWER(KOmaster,SIGN(J66))*POWER(KKmaster,SIGN(K66))+E66*POWER(MUmaster,SIGN(D66))*POWER(INmaster,SIGN(F66))*POWER(CHmaster,SIGN(G66))*POWER(FFmaster,SIGN(H66))*POWER(GEmaster,SIGN(I66))*POWER(KOmaster,SIGN(J66))*POWER(KKmaster,SIGN(K66))+F66*POWER(MUmaster,SIGN(D66))*POWER(KLmaster,SIGN(E66))*POWER(CHmaster,SIGN(G66))*POWER(FFmaster,SIGN(H66))*POWER(GEmaster,SIGN(I66))*POWER(KOmaster,SIGN(J66))*POWER(KKmaster,SIGN(K66))+G66*POWER(MUmaster,SIGN(D66))*POWER(KLmaster,SIGN(E66))*POWER(INmaster,SIGN(F66))*POWER(FFmaster,SIGN(H66))*POWER(GEmaster,SIGN(I66))*POWER(KOmaster,SIGN(J66))*POWER(KKmaster,SIGN(K66))+H66*POWER(MUmaster,SIGN(D66))*POWER(KLmaster,SIGN(E66))*POWER(INmaster,SIGN(F66))*POWER(CHmaster,SIGN(G66))*POWER(GEmaster,SIGN(I66))*POWER(KOmaster,SIGN(J66))*POWER(KKmaster,SIGN(K66))+I66*POWER(MUmaster,SIGN(D66))*POWER(KLmaster,SIGN(E66))*POWER(INmaster,SIGN(F66))*POWER(CHmaster,SIGN(G66))*POWER(FFmaster,SIGN(H66))*POWER(KOmaster,SIGN(J66))*POWER(KKmaster,SIGN(K66))+J66*POWER(MUmaster,SIGN(D66))*POWER(KLmaster,SIGN(E66))*POWER(INmaster,SIGN(F66))*POWER(CHmaster,SIGN(G66))*POWER(FFmaster,SIGN(H66))*POWER(GEmaster,SIGN(I66))*POWER(KKmaster,SIGN(K66))+K66*POWER(MUmaster,SIGN(D66))*POWER(KLmaster,SIGN(E66))*POWER(INmaster,SIGN(F66))*POWER(CHmaster,SIGN(G66))*POWER(FFmaster,SIGN(H66))*POWER(GEmaster,SIGN(I66))*POWER(KOmaster,SIGN(J66))</f>
        <v>3055</v>
      </c>
      <c r="P66" s="11">
        <f>H66*I66*KOmaster+H66*GEmaster*J66+FFmaster*I66*J66</f>
        <v>1524</v>
      </c>
      <c r="Q66" s="22">
        <f t="shared" si="2"/>
        <v>252</v>
      </c>
      <c r="R66" s="20">
        <f t="shared" si="22"/>
        <v>4831</v>
      </c>
      <c r="S66" s="33">
        <f t="shared" si="3"/>
        <v>4.0050369143724556</v>
      </c>
      <c r="T66" s="26">
        <f t="shared" si="4"/>
        <v>3.9958600703788036</v>
      </c>
      <c r="U66" s="34">
        <f t="shared" si="5"/>
        <v>0.99109915131442761</v>
      </c>
      <c r="V66" s="79">
        <f t="shared" si="6"/>
        <v>8.991996136065687</v>
      </c>
      <c r="W66" s="123">
        <v>0</v>
      </c>
      <c r="X66" s="4">
        <f t="shared" si="7"/>
        <v>8.991996136065687</v>
      </c>
      <c r="Y66" s="72">
        <f t="shared" si="8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17.983992272131374</v>
      </c>
      <c r="AC66" s="11"/>
    </row>
    <row r="67" spans="1:29" outlineLevel="1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Konvention_1master-INmaster</f>
        <v>5</v>
      </c>
      <c r="G67" s="21"/>
      <c r="H67" s="21">
        <f t="shared" si="23"/>
        <v>6</v>
      </c>
      <c r="I67" s="21"/>
      <c r="J67" s="21"/>
      <c r="K67" s="22"/>
      <c r="L67" s="27">
        <f>(F67+H67+H67)/3</f>
        <v>5.666666666666667</v>
      </c>
      <c r="M67" s="27">
        <f t="shared" si="0"/>
        <v>11.333333333333334</v>
      </c>
      <c r="N67" s="32">
        <f t="shared" si="1"/>
        <v>17</v>
      </c>
      <c r="O67" s="11">
        <f>H67*POWER(MUmaster,SIGN(D67))*POWER(KLmaster,SIGN(E67))*POWER(INmaster,SIGN(F67))*POWER(CHmaster,SIGN(G67))*POWER(FFmaster,SIGN(H67))*POWER(GEmaster,SIGN(I67))*POWER(KOmaster,SIGN(J67))*POWER(KKmaster,SIGN(K67))+H67*POWER(MUmaster,SIGN(D67))*POWER(KLmaster,SIGN(E67))*POWER(INmaster,SIGN(F67))*POWER(CHmaster,SIGN(G67))*POWER(FFmaster,SIGN(H67))*POWER(GEmaster,SIGN(I67))*POWER(KOmaster,SIGN(J67))*POWER(KKmaster,SIGN(K67))+F67*POWER(MUmaster,SIGN(D67))*POWER(KLmaster,SIGN(E67))*POWER(INmaster,SIGN(F67))*POWER(CHmaster,SIGN(G67))*POWER(FFmaster,SIGN(H67))*POWER(GEmaster,SIGN(I67))*POWER(KKmaster,SIGN(K67))*POWER(FFmaster,SIGN(H67))/POWER(INmaster,SIGN(F67))</f>
        <v>3029</v>
      </c>
      <c r="P67" s="11">
        <f>F67*H67*FFmaster+F67*FFmaster*H67+INmaster*H67*H67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2"/>
        <v>4493</v>
      </c>
      <c r="S67" s="33">
        <f t="shared" si="3"/>
        <v>3.8202388901253808</v>
      </c>
      <c r="T67" s="26">
        <f t="shared" si="4"/>
        <v>3.2388159359002895</v>
      </c>
      <c r="U67" s="34">
        <f t="shared" si="5"/>
        <v>0.68105942577342538</v>
      </c>
      <c r="V67" s="79">
        <f t="shared" si="6"/>
        <v>7.7401142517990964</v>
      </c>
      <c r="W67" s="123">
        <v>0</v>
      </c>
      <c r="X67" s="4">
        <f t="shared" si="7"/>
        <v>7.7401142517990964</v>
      </c>
      <c r="Y67" s="72">
        <f t="shared" si="8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C67" s="11"/>
    </row>
    <row r="68" spans="1:29" outlineLevel="1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3"/>
        <v>6</v>
      </c>
      <c r="I68" s="21"/>
      <c r="J68" s="21">
        <f>Konvention_1master-KOmaster</f>
        <v>6</v>
      </c>
      <c r="K68" s="22">
        <f>Konvention_1master-KKmaster</f>
        <v>11</v>
      </c>
      <c r="L68" s="27">
        <f>(D68+E68+F68+G68+H68+I68+J68+K68)/3</f>
        <v>7.666666666666667</v>
      </c>
      <c r="M68" s="27">
        <f t="shared" si="0"/>
        <v>15.333333333333334</v>
      </c>
      <c r="N68" s="32">
        <f t="shared" si="1"/>
        <v>23</v>
      </c>
      <c r="O68" s="11">
        <f>D68*POWER(KLmaster,SIGN(E68))*POWER(INmaster,SIGN(F68))*POWER(CHmaster,SIGN(G68))*POWER(FFmaster,SIGN(H68))*POWER(GEmaster,SIGN(I68))*POWER(KOmaster,SIGN(J68))*POWER(KKmaster,SIGN(K68))+E68*POWER(MUmaster,SIGN(D68))*POWER(INmaster,SIGN(F68))*POWER(CHmaster,SIGN(G68))*POWER(FFmaster,SIGN(H68))*POWER(GEmaster,SIGN(I68))*POWER(KOmaster,SIGN(J68))*POWER(KKmaster,SIGN(K68))+F68*POWER(MUmaster,SIGN(D68))*POWER(KLmaster,SIGN(E68))*POWER(CHmaster,SIGN(G68))*POWER(FFmaster,SIGN(H68))*POWER(GEmaster,SIGN(I68))*POWER(KOmaster,SIGN(J68))*POWER(KKmaster,SIGN(K68))+G68*POWER(MUmaster,SIGN(D68))*POWER(KLmaster,SIGN(E68))*POWER(INmaster,SIGN(F68))*POWER(FFmaster,SIGN(H68))*POWER(GEmaster,SIGN(I68))*POWER(KOmaster,SIGN(J68))*POWER(KKmaster,SIGN(K68))+H68*POWER(MUmaster,SIGN(D68))*POWER(KLmaster,SIGN(E68))*POWER(INmaster,SIGN(F68))*POWER(CHmaster,SIGN(G68))*POWER(GEmaster,SIGN(I68))*POWER(KOmaster,SIGN(J68))*POWER(KKmaster,SIGN(K68))+I68*POWER(MUmaster,SIGN(D68))*POWER(KLmaster,SIGN(E68))*POWER(INmaster,SIGN(F68))*POWER(CHmaster,SIGN(G68))*POWER(FFmaster,SIGN(H68))*POWER(KOmaster,SIGN(J68))*POWER(KKmaster,SIGN(K68))+J68*POWER(MUmaster,SIGN(D68))*POWER(KLmaster,SIGN(E68))*POWER(INmaster,SIGN(F68))*POWER(CHmaster,SIGN(G68))*POWER(FFmaster,SIGN(H68))*POWER(GEmaster,SIGN(I68))*POWER(KKmaster,SIGN(K68))+K68*POWER(MUmaster,SIGN(D68))*POWER(KLmaster,SIGN(E68))*POWER(INmaster,SIGN(F68))*POWER(CHmaster,SIGN(G68))*POWER(FFmaster,SIGN(H68))*POWER(GEmaster,SIGN(I68))*POWER(KOmaster,SIGN(J68))</f>
        <v>3107</v>
      </c>
      <c r="P68" s="11">
        <f>H68*J68*KKmaster+H68*KOmaster*K68+FFmaster*J68*K68</f>
        <v>2004</v>
      </c>
      <c r="Q68" s="22">
        <f>IFERROR(D68^SIGN(D68),1)*IFERROR(E68^SIGN(E68),1)*IFERROR(F68^SIGN(F68),1)*IFERROR(G68^SIGN(G68),1)*IFERROR(H68^SIGN(H68),1)*IFERROR(I68^SIGN(I68),1)*IFERROR(J68^SIGN(J68),1)*IFERROR(K68^SIGN(K68),1)</f>
        <v>396</v>
      </c>
      <c r="R68" s="20">
        <f t="shared" si="22"/>
        <v>5507</v>
      </c>
      <c r="S68" s="33">
        <f t="shared" si="3"/>
        <v>4.3254645602566439</v>
      </c>
      <c r="T68" s="26">
        <f t="shared" si="4"/>
        <v>5.5798075177047393</v>
      </c>
      <c r="U68" s="34">
        <f t="shared" si="5"/>
        <v>1.6538950426729617</v>
      </c>
      <c r="V68" s="79">
        <f t="shared" si="6"/>
        <v>11.559167120634346</v>
      </c>
      <c r="W68" s="123">
        <v>0</v>
      </c>
      <c r="X68" s="4">
        <f t="shared" si="7"/>
        <v>11.559167120634346</v>
      </c>
      <c r="Y68" s="72">
        <f t="shared" si="8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34.67750136190304</v>
      </c>
      <c r="AC68" s="11"/>
    </row>
    <row r="69" spans="1:29" outlineLevel="1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Konvention_1master-CHmaster</f>
        <v>7</v>
      </c>
      <c r="H69" s="21">
        <f t="shared" si="23"/>
        <v>6</v>
      </c>
      <c r="I69" s="21"/>
      <c r="J69" s="21">
        <f>Konvention_1master-KOmaster</f>
        <v>6</v>
      </c>
      <c r="K69" s="22"/>
      <c r="L69" s="27">
        <f>(D69+E69+F69+G69+H69+I69+J69+K69)/3</f>
        <v>6.333333333333333</v>
      </c>
      <c r="M69" s="27">
        <f t="shared" si="0"/>
        <v>12.666666666666666</v>
      </c>
      <c r="N69" s="32">
        <f t="shared" si="1"/>
        <v>19</v>
      </c>
      <c r="O69" s="11">
        <f>D69*POWER(KLmaster,SIGN(E69))*POWER(INmaster,SIGN(F69))*POWER(CHmaster,SIGN(G69))*POWER(FFmaster,SIGN(H69))*POWER(GEmaster,SIGN(I69))*POWER(KOmaster,SIGN(J69))*POWER(KKmaster,SIGN(K69))+E69*POWER(MUmaster,SIGN(D69))*POWER(INmaster,SIGN(F69))*POWER(CHmaster,SIGN(G69))*POWER(FFmaster,SIGN(H69))*POWER(GEmaster,SIGN(I69))*POWER(KOmaster,SIGN(J69))*POWER(KKmaster,SIGN(K69))+F69*POWER(MUmaster,SIGN(D69))*POWER(KLmaster,SIGN(E69))*POWER(CHmaster,SIGN(G69))*POWER(FFmaster,SIGN(H69))*POWER(GEmaster,SIGN(I69))*POWER(KOmaster,SIGN(J69))*POWER(KKmaster,SIGN(K69))+G69*POWER(MUmaster,SIGN(D69))*POWER(KLmaster,SIGN(E69))*POWER(INmaster,SIGN(F69))*POWER(FFmaster,SIGN(H69))*POWER(GEmaster,SIGN(I69))*POWER(KOmaster,SIGN(J69))*POWER(KKmaster,SIGN(K69))+H69*POWER(MUmaster,SIGN(D69))*POWER(KLmaster,SIGN(E69))*POWER(INmaster,SIGN(F69))*POWER(CHmaster,SIGN(G69))*POWER(GEmaster,SIGN(I69))*POWER(KOmaster,SIGN(J69))*POWER(KKmaster,SIGN(K69))+I69*POWER(MUmaster,SIGN(D69))*POWER(KLmaster,SIGN(E69))*POWER(INmaster,SIGN(F69))*POWER(CHmaster,SIGN(G69))*POWER(FFmaster,SIGN(H69))*POWER(KOmaster,SIGN(J69))*POWER(KKmaster,SIGN(K69))+J69*POWER(MUmaster,SIGN(D69))*POWER(KLmaster,SIGN(E69))*POWER(INmaster,SIGN(F69))*POWER(CHmaster,SIGN(G69))*POWER(FFmaster,SIGN(H69))*POWER(GEmaster,SIGN(I69))*POWER(KKmaster,SIGN(K69))+K69*POWER(MUmaster,SIGN(D69))*POWER(KLmaster,SIGN(E69))*POWER(INmaster,SIGN(F69))*POWER(CHmaster,SIGN(G69))*POWER(FFmaster,SIGN(H69))*POWER(GEmaster,SIGN(I69))*POWER(KOmaster,SIGN(J69))</f>
        <v>3055</v>
      </c>
      <c r="P69" s="11">
        <f>G69*H69*KOmaster+G69*FFmaster*J69+CHmaster*H69*J69</f>
        <v>1524</v>
      </c>
      <c r="Q69" s="22">
        <f>IFERROR(D69^SIGN(D69),1)*IFERROR(E69^SIGN(E69),1)*IFERROR(F69^SIGN(F69),1)*IFERROR(G69^SIGN(G69),1)*IFERROR(H69^SIGN(H69),1)*IFERROR(I69^SIGN(I69),1)*IFERROR(J69^SIGN(J69),1)*IFERROR(K69^SIGN(K69),1)</f>
        <v>252</v>
      </c>
      <c r="R69" s="20">
        <f t="shared" si="22"/>
        <v>4831</v>
      </c>
      <c r="S69" s="33">
        <f t="shared" si="3"/>
        <v>4.0050369143724556</v>
      </c>
      <c r="T69" s="26">
        <f t="shared" si="4"/>
        <v>3.9958600703788036</v>
      </c>
      <c r="U69" s="34">
        <f t="shared" si="5"/>
        <v>0.99109915131442761</v>
      </c>
      <c r="V69" s="79">
        <f t="shared" si="6"/>
        <v>8.991996136065687</v>
      </c>
      <c r="W69" s="123">
        <v>0</v>
      </c>
      <c r="X69" s="4">
        <f t="shared" si="7"/>
        <v>8.991996136065687</v>
      </c>
      <c r="Y69" s="72">
        <f t="shared" si="8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8.991996136065687</v>
      </c>
      <c r="AC69" s="11"/>
    </row>
    <row r="70" spans="1:29" outlineLevel="1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Konvention_1master-INmaster</f>
        <v>5</v>
      </c>
      <c r="G70" s="21"/>
      <c r="H70" s="21">
        <f t="shared" si="23"/>
        <v>6</v>
      </c>
      <c r="I70" s="21"/>
      <c r="J70" s="21"/>
      <c r="K70" s="22"/>
      <c r="L70" s="27">
        <f>(F70+H70+H70)/3</f>
        <v>5.666666666666667</v>
      </c>
      <c r="M70" s="27">
        <f t="shared" si="0"/>
        <v>11.333333333333334</v>
      </c>
      <c r="N70" s="32">
        <f t="shared" si="1"/>
        <v>17</v>
      </c>
      <c r="O70" s="11">
        <f>H70*POWER(MUmaster,SIGN(D70))*POWER(KLmaster,SIGN(E70))*POWER(INmaster,SIGN(F70))*POWER(CHmaster,SIGN(G70))*POWER(FFmaster,SIGN(H70))*POWER(GEmaster,SIGN(I70))*POWER(KOmaster,SIGN(J70))*POWER(KKmaster,SIGN(K70))+H70*POWER(MUmaster,SIGN(D70))*POWER(KLmaster,SIGN(E70))*POWER(INmaster,SIGN(F70))*POWER(CHmaster,SIGN(G70))*POWER(FFmaster,SIGN(H70))*POWER(GEmaster,SIGN(I70))*POWER(KOmaster,SIGN(J70))*POWER(KKmaster,SIGN(K70))+F70*POWER(MUmaster,SIGN(D70))*POWER(KLmaster,SIGN(E70))*POWER(INmaster,SIGN(F70))*POWER(CHmaster,SIGN(G70))*POWER(FFmaster,SIGN(H70))*POWER(GEmaster,SIGN(I70))*POWER(KKmaster,SIGN(K70))*POWER(FFmaster,SIGN(H70))/POWER(INmaster,SIGN(F70))</f>
        <v>3029</v>
      </c>
      <c r="P70" s="11">
        <f>F70*H70*FFmaster+F70*FFmaster*H70+INmaster*H70*H70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2"/>
        <v>4493</v>
      </c>
      <c r="S70" s="33">
        <f t="shared" si="3"/>
        <v>3.8202388901253808</v>
      </c>
      <c r="T70" s="26">
        <f t="shared" si="4"/>
        <v>3.2388159359002895</v>
      </c>
      <c r="U70" s="34">
        <f t="shared" si="5"/>
        <v>0.68105942577342538</v>
      </c>
      <c r="V70" s="79">
        <f t="shared" si="6"/>
        <v>7.7401142517990964</v>
      </c>
      <c r="W70" s="123">
        <v>0</v>
      </c>
      <c r="X70" s="4">
        <f t="shared" si="7"/>
        <v>7.7401142517990964</v>
      </c>
      <c r="Y70" s="72">
        <f t="shared" si="8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C70" s="11"/>
    </row>
    <row r="71" spans="1:29" outlineLevel="1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3"/>
        <v>6</v>
      </c>
      <c r="I71" s="21"/>
      <c r="J71" s="21"/>
      <c r="K71" s="22">
        <f>Konvention_1master-KKmaster</f>
        <v>11</v>
      </c>
      <c r="L71" s="27">
        <f>(H71+H71+K71)/3</f>
        <v>7.666666666666667</v>
      </c>
      <c r="M71" s="27">
        <f t="shared" si="0"/>
        <v>15.333333333333334</v>
      </c>
      <c r="N71" s="32">
        <f t="shared" si="1"/>
        <v>23</v>
      </c>
      <c r="O71" s="11">
        <f>H71*POWER(MUmaster,SIGN(D71))*POWER(KLmaster,SIGN(E71))*POWER(INmaster,SIGN(F71))*POWER(CHmaster,SIGN(G71))*POWER(FFmaster,SIGN(H71))*POWER(GEmaster,SIGN(I71))*POWER(KOmaster,SIGN(J71))*POWER(KKmaster,SIGN(K71))+H71*POWER(MUmaster,SIGN(D71))*POWER(KLmaster,SIGN(E71))*POWER(INmaster,SIGN(F71))*POWER(CHmaster,SIGN(G71))*POWER(FFmaster,SIGN(H71))*POWER(GEmaster,SIGN(I71))*POWER(KOmaster,SIGN(J71))*POWER(KKmaster,SIGN(K71))+K71*POWER(MUmaster,SIGN(D71))*POWER(KLmaster,SIGN(E71))*POWER(INmaster,SIGN(F71))*POWER(CHmaster,SIGN(G71))*POWER(FFmaster,SIGN(H71))*POWER(GEmaster,SIGN(I71))*POWER(KKmaster,SIGN(K71))*POWER(FFmaster,SIGN(H71))/POWER(KKmaster,SIGN(K71))</f>
        <v>3107</v>
      </c>
      <c r="P71" s="11">
        <f>H71*H71*KKmaster+H71*FFmaster*K71+FFmaster*H71*K71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2"/>
        <v>5507</v>
      </c>
      <c r="S71" s="33">
        <f t="shared" si="3"/>
        <v>4.3254645602566439</v>
      </c>
      <c r="T71" s="26">
        <f t="shared" si="4"/>
        <v>5.5798075177047393</v>
      </c>
      <c r="U71" s="34">
        <f t="shared" si="5"/>
        <v>1.6538950426729617</v>
      </c>
      <c r="V71" s="79">
        <f t="shared" si="6"/>
        <v>11.559167120634346</v>
      </c>
      <c r="W71" s="123">
        <v>0</v>
      </c>
      <c r="X71" s="4">
        <f t="shared" si="7"/>
        <v>11.559167120634346</v>
      </c>
      <c r="Y71" s="72">
        <f t="shared" si="8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C71" s="11"/>
    </row>
    <row r="72" spans="1:29" outlineLevel="1">
      <c r="A72" s="40" t="s">
        <v>66</v>
      </c>
      <c r="B72" s="10" t="s">
        <v>104</v>
      </c>
      <c r="C72" s="59" t="s">
        <v>139</v>
      </c>
      <c r="D72" s="24"/>
      <c r="E72" s="19">
        <f>Konvention_1master-KLmaster</f>
        <v>5</v>
      </c>
      <c r="F72" s="19"/>
      <c r="G72" s="19"/>
      <c r="H72" s="19">
        <f t="shared" si="23"/>
        <v>6</v>
      </c>
      <c r="I72" s="19"/>
      <c r="J72" s="19"/>
      <c r="K72" s="23"/>
      <c r="L72" s="25">
        <f>(E72+H72+H72)/3</f>
        <v>5.666666666666667</v>
      </c>
      <c r="M72" s="25">
        <f t="shared" si="0"/>
        <v>11.333333333333334</v>
      </c>
      <c r="N72" s="36">
        <f t="shared" si="1"/>
        <v>17</v>
      </c>
      <c r="O72" s="19">
        <f>H72*POWER(MUmaster,SIGN(D72))*POWER(KLmaster,SIGN(E72))*POWER(INmaster,SIGN(F72))*POWER(CHmaster,SIGN(G72))*POWER(FFmaster,SIGN(H72))*POWER(GEmaster,SIGN(I72))*POWER(KOmaster,SIGN(J72))*POWER(KKmaster,SIGN(K72))+H72*POWER(MUmaster,SIGN(D72))*POWER(KLmaster,SIGN(E72))*POWER(INmaster,SIGN(F72))*POWER(CHmaster,SIGN(G72))*POWER(FFmaster,SIGN(H72))*POWER(GEmaster,SIGN(I72))*POWER(KOmaster,SIGN(J72))*POWER(KKmaster,SIGN(K72))+E72*POWER(MUmaster,SIGN(D72))*POWER(KLmaster,SIGN(E72))*POWER(INmaster,SIGN(F72))*POWER(CHmaster,SIGN(G72))*POWER(FFmaster,SIGN(H72))*POWER(GEmaster,SIGN(I72))*POWER(KKmaster,SIGN(K72))*POWER(FFmaster,SIGN(H72))/POWER(KLmaster,SIGN(E72))</f>
        <v>3029</v>
      </c>
      <c r="P72" s="19">
        <f>E72*H72*FFmaster+E72*FFmaster*H72+KLmaster*H72*H72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3"/>
        <v>3.8202388901253808</v>
      </c>
      <c r="T72" s="25">
        <f t="shared" si="4"/>
        <v>3.2388159359002895</v>
      </c>
      <c r="U72" s="38">
        <f t="shared" si="5"/>
        <v>0.68105942577342538</v>
      </c>
      <c r="V72" s="80">
        <f t="shared" si="6"/>
        <v>7.7401142517990964</v>
      </c>
      <c r="W72" s="123">
        <v>0</v>
      </c>
      <c r="X72" s="5">
        <f t="shared" si="7"/>
        <v>7.7401142517990964</v>
      </c>
      <c r="Y72" s="73">
        <f t="shared" si="8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C72" s="11"/>
    </row>
    <row r="73" spans="1:29">
      <c r="N73" s="41"/>
      <c r="S73" s="27"/>
      <c r="T73" s="27"/>
      <c r="U73" s="27"/>
      <c r="V73" s="15"/>
      <c r="W73" s="11"/>
      <c r="Y73" s="11"/>
      <c r="Z73" s="11"/>
    </row>
    <row r="74" spans="1:29" ht="15.75" thickBot="1">
      <c r="N74" s="41"/>
      <c r="O74" s="29">
        <f>AVERAGE(O10:O72)</f>
        <v>3018.8135593220341</v>
      </c>
      <c r="P74" s="30">
        <f>AVERAGE(P10:P72)</f>
        <v>1403.3559322033898</v>
      </c>
      <c r="Q74" s="31">
        <f>AVERAGE(Q10:Q72)</f>
        <v>222.11864406779662</v>
      </c>
      <c r="R74" s="31">
        <f>O74+P74+Q74</f>
        <v>4644.2881355932204</v>
      </c>
      <c r="W74" s="11"/>
      <c r="Y74" s="11"/>
      <c r="Z74" s="11"/>
    </row>
    <row r="75" spans="1:29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115.625</v>
      </c>
      <c r="K75" s="165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8.4079268401568914</v>
      </c>
      <c r="W75" s="56">
        <f>W78/COUNT(W10:W72)</f>
        <v>0</v>
      </c>
      <c r="X75" s="56">
        <f>X78/COUNTIF(X10:X72,"&gt;0")</f>
        <v>8.4079268401568914</v>
      </c>
      <c r="Y75" s="74">
        <f>IFERROR(Y78/COUNTIF(Y10:Y72,"&gt;0"),0)</f>
        <v>0</v>
      </c>
      <c r="Z75" s="74">
        <f>Z78/COUNTIF(Z10:Z72,"&gt;0")</f>
        <v>17.830105338024456</v>
      </c>
    </row>
    <row r="76" spans="1:29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9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9">
      <c r="D78" s="44">
        <f>SUM(D10:D72)</f>
        <v>90</v>
      </c>
      <c r="E78" s="45">
        <f t="shared" ref="E78:K78" si="24">SUM(E10:E72)</f>
        <v>140</v>
      </c>
      <c r="F78" s="45">
        <f t="shared" si="24"/>
        <v>150</v>
      </c>
      <c r="G78" s="45">
        <f t="shared" si="24"/>
        <v>126</v>
      </c>
      <c r="H78" s="45">
        <f t="shared" si="24"/>
        <v>114</v>
      </c>
      <c r="I78" s="45">
        <f t="shared" si="24"/>
        <v>105</v>
      </c>
      <c r="J78" s="45">
        <f t="shared" si="24"/>
        <v>90</v>
      </c>
      <c r="K78" s="46">
        <f t="shared" si="24"/>
        <v>110</v>
      </c>
      <c r="L78" s="50">
        <f>SUM(L10:L72)</f>
        <v>353.66666666666674</v>
      </c>
      <c r="M78" s="51">
        <f>SUM(M10:M72)</f>
        <v>707.33333333333348</v>
      </c>
      <c r="N78" s="52">
        <f>SUM(N10:N72)</f>
        <v>1061</v>
      </c>
      <c r="O78" s="47">
        <f>O74/O76</f>
        <v>0.44012444369762854</v>
      </c>
      <c r="P78" s="48">
        <f>P74/P76</f>
        <v>0.20460066076736985</v>
      </c>
      <c r="Q78" s="49">
        <f>Q74/Q76</f>
        <v>3.2383531720046162E-2</v>
      </c>
      <c r="R78" s="47">
        <f>O78+P78+Q78</f>
        <v>0.67710863618504458</v>
      </c>
      <c r="S78" s="47">
        <f>L78*O74/R74</f>
        <v>229.88533390751536</v>
      </c>
      <c r="T78" s="48">
        <f>M78*P74/R74</f>
        <v>213.73360144713334</v>
      </c>
      <c r="U78" s="49">
        <f>N78*Q74/R74</f>
        <v>50.743596106754062</v>
      </c>
      <c r="V78" s="47">
        <f>SUMIF(V10:V72,"&gt;0")</f>
        <v>496.06768356925664</v>
      </c>
      <c r="W78" s="88">
        <f>SUM(W10:W72)</f>
        <v>0</v>
      </c>
      <c r="X78" s="49">
        <f>SUMIF(X10:X72,"&gt;0")</f>
        <v>496.06768356925664</v>
      </c>
      <c r="Y78" s="53">
        <f>SUMIF(Y10:Y72,"&gt;0")</f>
        <v>0</v>
      </c>
      <c r="Z78" s="86">
        <f>SUMIF(Z10:Z72,"&gt;0")</f>
        <v>1051.976214943443</v>
      </c>
    </row>
    <row r="79" spans="1:29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85" t="s">
        <v>156</v>
      </c>
      <c r="S79" s="150" t="s">
        <v>126</v>
      </c>
      <c r="T79" s="151"/>
      <c r="U79" s="152"/>
      <c r="V79" s="63" t="s">
        <v>124</v>
      </c>
      <c r="W79" s="75" t="s">
        <v>125</v>
      </c>
      <c r="X79" s="87" t="s">
        <v>127</v>
      </c>
      <c r="Y79" s="75" t="s">
        <v>143</v>
      </c>
      <c r="Z79" s="75" t="s">
        <v>142</v>
      </c>
    </row>
    <row r="81" spans="1:26" ht="15.75" thickBot="1"/>
    <row r="82" spans="1:26" ht="20.25" thickTop="1" thickBot="1">
      <c r="A82" s="139" t="s">
        <v>161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19"/>
      <c r="W82" s="88">
        <f>W10*2+W11*1+W12*2+W13*4+W14*2+W15*2+W16*2+W17*4+W18*1+W19*4+W20*1+W21*2+W22*3+W23*1+W25*2+W26*2+W27*2+W28*2+W29*3+W30*3+W31*3+W32*2+W33*4+W35*3+W36*1+W37*1+W38*2+W39*3+W40*3+W41*3+W43*1+W44*2+W45*2+W46*2+W47*2+W48*3+W49*2+W50*1+W51*1+W52*2+W53*2+W54*1+W56*3+W57*2+W58*1+W59*2+W60*2+W61*2+W62*2+W63*4+W64*2+W65*1+W66*2+W67*1+W68*3+W69*1+W70*3+W71*1+W72*1</f>
        <v>0</v>
      </c>
    </row>
    <row r="83" spans="1:26" ht="15.75" customHeight="1" thickTop="1" thickBot="1">
      <c r="A83" s="120"/>
      <c r="B83" s="21"/>
      <c r="C83" s="99"/>
      <c r="D83" s="114" t="s">
        <v>0</v>
      </c>
      <c r="E83" s="115" t="s">
        <v>1</v>
      </c>
      <c r="F83" s="115" t="s">
        <v>2</v>
      </c>
      <c r="G83" s="115" t="s">
        <v>3</v>
      </c>
      <c r="H83" s="115" t="s">
        <v>4</v>
      </c>
      <c r="I83" s="115" t="s">
        <v>5</v>
      </c>
      <c r="J83" s="115" t="s">
        <v>6</v>
      </c>
      <c r="K83" s="116" t="s">
        <v>7</v>
      </c>
      <c r="L83" s="99"/>
      <c r="M83" s="109" t="s">
        <v>151</v>
      </c>
      <c r="N83" s="110" t="s">
        <v>150</v>
      </c>
      <c r="O83" s="110" t="s">
        <v>155</v>
      </c>
      <c r="P83" s="110" t="s">
        <v>153</v>
      </c>
      <c r="Q83" s="111" t="s">
        <v>154</v>
      </c>
      <c r="R83" s="101"/>
      <c r="S83" s="82"/>
      <c r="T83" s="82"/>
      <c r="U83" s="82"/>
      <c r="V83" s="82"/>
      <c r="W83" s="57" t="s">
        <v>152</v>
      </c>
      <c r="Z83" s="84"/>
    </row>
    <row r="84" spans="1:26" ht="15.75" thickBot="1">
      <c r="A84" s="120"/>
      <c r="B84" s="21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7">
        <f>L5</f>
        <v>540</v>
      </c>
      <c r="N84" s="112">
        <f>M5</f>
        <v>0</v>
      </c>
      <c r="O84" s="112">
        <f>N5</f>
        <v>540</v>
      </c>
      <c r="P84" s="113">
        <f>AP_erhalten</f>
        <v>1100</v>
      </c>
      <c r="Q84" s="108">
        <f>P5</f>
        <v>560</v>
      </c>
      <c r="R84" s="101"/>
      <c r="S84" s="82"/>
      <c r="T84" s="82"/>
      <c r="U84" s="82"/>
      <c r="V84" s="82"/>
      <c r="W84" s="89"/>
      <c r="Z84" s="84"/>
    </row>
    <row r="85" spans="1:26" ht="15.75" thickBot="1">
      <c r="A85" s="102"/>
      <c r="B85" s="131">
        <f>Z78+Y78+L5</f>
        <v>1591.976214943443</v>
      </c>
      <c r="C85" s="99"/>
      <c r="D85" s="86">
        <f>'MU+1'!Z78+'MU+1'!Y78+'MU+1'!L5</f>
        <v>1590.0564160549702</v>
      </c>
      <c r="E85" s="86">
        <f>'KL+1'!Z78+'KL+1'!Y78+'KL+1'!L5</f>
        <v>1578.4829401829811</v>
      </c>
      <c r="F85" s="86">
        <f>'IN+1'!Z78+'IN+1'!Y78+'IN+1'!L5</f>
        <v>1580.0741146221151</v>
      </c>
      <c r="G85" s="86">
        <f>'CH+1'!Z78+'CH+1'!Y78+'CH+1'!L5</f>
        <v>1581.6247856481466</v>
      </c>
      <c r="H85" s="86">
        <f>'FF+1'!Z78+'FF+1'!Y78+'FF+1'!L5</f>
        <v>1576.3527584510839</v>
      </c>
      <c r="I85" s="86">
        <f>'GE+1'!Z78+'GE+1'!Y78+'GE+1'!L5</f>
        <v>1578.4197277374938</v>
      </c>
      <c r="J85" s="86">
        <f>'KO+1'!Z78+'KO+1'!Y78+'KO+1'!L5</f>
        <v>1577.8076586562988</v>
      </c>
      <c r="K85" s="86">
        <f>'KK+1'!Z78+'KK+1'!Y78+'KK+1'!L5</f>
        <v>1577.9548705282214</v>
      </c>
      <c r="L85" s="99"/>
      <c r="M85" s="21"/>
      <c r="N85" s="21"/>
      <c r="O85" s="21"/>
      <c r="P85" s="21"/>
      <c r="Q85" s="21"/>
      <c r="R85" s="121"/>
      <c r="U85" s="82"/>
      <c r="V85" s="82"/>
      <c r="W85" s="11" t="s">
        <v>164</v>
      </c>
      <c r="Z85" s="84"/>
    </row>
    <row r="86" spans="1:26" ht="20.25" thickTop="1" thickBot="1">
      <c r="A86" s="102"/>
      <c r="B86" s="57" t="s">
        <v>147</v>
      </c>
      <c r="C86" s="21"/>
      <c r="D86" s="155" t="s">
        <v>148</v>
      </c>
      <c r="E86" s="156"/>
      <c r="F86" s="156"/>
      <c r="G86" s="156"/>
      <c r="H86" s="156"/>
      <c r="I86" s="156"/>
      <c r="J86" s="156"/>
      <c r="K86" s="157"/>
      <c r="L86" s="99"/>
      <c r="M86" s="172" t="s">
        <v>158</v>
      </c>
      <c r="N86" s="173"/>
      <c r="O86" s="21"/>
      <c r="P86" s="21"/>
      <c r="Q86" s="21"/>
      <c r="R86" s="121"/>
      <c r="U86" s="82"/>
      <c r="V86" s="82"/>
      <c r="W86" s="11" t="s">
        <v>163</v>
      </c>
    </row>
    <row r="87" spans="1:26" ht="16.5" thickTop="1" thickBot="1">
      <c r="A87" s="10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99"/>
      <c r="M87" s="174" t="s">
        <v>166</v>
      </c>
      <c r="N87" s="175"/>
      <c r="O87" s="175"/>
      <c r="P87" s="175"/>
      <c r="Q87" s="175"/>
      <c r="R87" s="176"/>
      <c r="S87" s="82"/>
      <c r="T87" s="82"/>
      <c r="U87" s="82"/>
      <c r="V87" s="82"/>
      <c r="W87" s="11" t="s">
        <v>163</v>
      </c>
    </row>
    <row r="88" spans="1:26">
      <c r="A88" s="102"/>
      <c r="B88" s="21"/>
      <c r="C88" s="21"/>
      <c r="D88" s="86">
        <f>D85-B85</f>
        <v>-1.9197988884727692</v>
      </c>
      <c r="E88" s="86">
        <f>E85-B85</f>
        <v>-13.493274760461873</v>
      </c>
      <c r="F88" s="86">
        <f>F85-B85</f>
        <v>-11.902100321327907</v>
      </c>
      <c r="G88" s="86">
        <f>G85-B85</f>
        <v>-10.351429295296384</v>
      </c>
      <c r="H88" s="86">
        <f>H85-B85</f>
        <v>-15.623456492359082</v>
      </c>
      <c r="I88" s="86">
        <f>I85-B85</f>
        <v>-13.556487205949225</v>
      </c>
      <c r="J88" s="86">
        <f>J85-B85</f>
        <v>-14.168556287144156</v>
      </c>
      <c r="K88" s="86">
        <f>K85-B85</f>
        <v>-14.02134441522162</v>
      </c>
      <c r="L88" s="122" t="s">
        <v>159</v>
      </c>
      <c r="M88" s="166" t="s">
        <v>167</v>
      </c>
      <c r="N88" s="167"/>
      <c r="O88" s="167"/>
      <c r="P88" s="167"/>
      <c r="Q88" s="167"/>
      <c r="R88" s="168"/>
      <c r="S88" s="82"/>
      <c r="T88" s="82"/>
      <c r="U88" s="82"/>
      <c r="V88" s="82"/>
      <c r="W88" s="11" t="s">
        <v>163</v>
      </c>
    </row>
    <row r="89" spans="1:26" ht="15.75" thickBot="1">
      <c r="A89" s="102"/>
      <c r="B89" s="21"/>
      <c r="C89" s="21"/>
      <c r="D89" s="155" t="s">
        <v>149</v>
      </c>
      <c r="E89" s="156"/>
      <c r="F89" s="156"/>
      <c r="G89" s="156"/>
      <c r="H89" s="156"/>
      <c r="I89" s="156"/>
      <c r="J89" s="156"/>
      <c r="K89" s="157"/>
      <c r="L89" s="99"/>
      <c r="M89" s="169" t="s">
        <v>160</v>
      </c>
      <c r="N89" s="170"/>
      <c r="O89" s="170"/>
      <c r="P89" s="170"/>
      <c r="Q89" s="170"/>
      <c r="R89" s="171"/>
      <c r="S89" s="130" t="s">
        <v>162</v>
      </c>
      <c r="T89" s="130" t="s">
        <v>162</v>
      </c>
      <c r="U89" s="130" t="s">
        <v>174</v>
      </c>
      <c r="V89" s="130" t="s">
        <v>173</v>
      </c>
      <c r="W89" s="130" t="s">
        <v>165</v>
      </c>
    </row>
    <row r="90" spans="1:26" ht="15.75" thickBot="1">
      <c r="A90" s="103"/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6"/>
      <c r="S90" s="82"/>
      <c r="T90" s="82"/>
      <c r="U90" s="82"/>
      <c r="V90" s="82"/>
      <c r="W90" s="69"/>
    </row>
    <row r="91" spans="1:26" ht="15.75" thickTop="1"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1:26"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100" spans="1:14">
      <c r="A100" s="143" t="s">
        <v>169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>
      <c r="A101" s="143" t="s">
        <v>170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1:14">
      <c r="A102" s="143" t="s">
        <v>171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1:14">
      <c r="A103" s="144" t="s">
        <v>168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</row>
    <row r="104" spans="1:14">
      <c r="A104" s="143" t="s">
        <v>172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</row>
  </sheetData>
  <mergeCells count="22">
    <mergeCell ref="M88:R88"/>
    <mergeCell ref="M89:R89"/>
    <mergeCell ref="M86:N86"/>
    <mergeCell ref="M87:R87"/>
    <mergeCell ref="D89:K89"/>
    <mergeCell ref="D4:K4"/>
    <mergeCell ref="D86:K86"/>
    <mergeCell ref="D7:K7"/>
    <mergeCell ref="D79:K79"/>
    <mergeCell ref="D75:I75"/>
    <mergeCell ref="J75:K75"/>
    <mergeCell ref="L7:N7"/>
    <mergeCell ref="O7:Q7"/>
    <mergeCell ref="L79:N79"/>
    <mergeCell ref="O79:Q79"/>
    <mergeCell ref="S79:U79"/>
    <mergeCell ref="S7:U7"/>
    <mergeCell ref="A104:N104"/>
    <mergeCell ref="A100:N100"/>
    <mergeCell ref="A101:N101"/>
    <mergeCell ref="A102:N102"/>
    <mergeCell ref="A103:N103"/>
  </mergeCells>
  <conditionalFormatting sqref="V10:V23 V25:V33 V35:V41 V43:V54 V56:V72 V75">
    <cfRule type="colorScale" priority="3235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32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32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32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32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32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32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32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32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32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32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32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32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32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32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32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32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32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32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32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32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32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32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32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32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32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32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32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32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32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32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32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2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2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2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1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1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1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1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1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1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31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31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31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31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31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31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31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31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31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31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31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31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31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31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31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31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31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31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0:AD72">
    <cfRule type="colorScale" priority="31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78:K78 J75">
    <cfRule type="colorScale" priority="1339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Z10:Z75">
    <cfRule type="colorScale" priority="14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1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D88:K88">
    <cfRule type="top10" dxfId="16" priority="5" bottom="1" rank="1"/>
    <cfRule type="colorScale" priority="11">
      <colorScale>
        <cfvo type="min" val="0"/>
        <cfvo type="num" val="0"/>
        <cfvo type="max" val="0"/>
        <color rgb="FF00B050"/>
        <color rgb="FFFFFF00"/>
        <color rgb="FFFF0000"/>
      </colorScale>
    </cfRule>
  </conditionalFormatting>
  <conditionalFormatting sqref="P5">
    <cfRule type="colorScale" priority="9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85:K85">
    <cfRule type="top10" dxfId="15" priority="3" bottom="1" rank="1"/>
    <cfRule type="colorScale" priority="4">
      <colorScale>
        <cfvo type="min" val="0"/>
        <cfvo type="num" val="$B$85"/>
        <cfvo type="max" val="0"/>
        <color rgb="FF63BE7B"/>
        <color rgb="FFFFEB84"/>
        <color rgb="FFF8696B"/>
      </colorScale>
    </cfRule>
  </conditionalFormatting>
  <conditionalFormatting sqref="Q84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L17 L19 L26 L38 L40 L47 L49 L63 L65:L66 L67 O66:O67 O65 O63 P66:Q66 O49:P49 O47:Q47 O40 O38 P32 O26 O19 O17 Q17 Q19 Q26 Q38 Q40 Q63:Q64 Q65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1"/>
  <sheetViews>
    <sheetView topLeftCell="A49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MUmaster+1</f>
        <v>15</v>
      </c>
      <c r="E2" s="95">
        <f>KLmaster</f>
        <v>14</v>
      </c>
      <c r="F2" s="95">
        <f>INmaster</f>
        <v>14</v>
      </c>
      <c r="G2" s="95">
        <f>CHmaster</f>
        <v>12</v>
      </c>
      <c r="H2" s="95">
        <f>FFmaster</f>
        <v>13</v>
      </c>
      <c r="I2" s="95">
        <f>GEmaster</f>
        <v>12</v>
      </c>
      <c r="J2" s="95">
        <f>KOmaster</f>
        <v>13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120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570</v>
      </c>
      <c r="M5" s="92">
        <f>W81</f>
        <v>0</v>
      </c>
      <c r="N5" s="93">
        <f>L5+M5</f>
        <v>570</v>
      </c>
      <c r="O5" s="125">
        <v>1100</v>
      </c>
      <c r="P5" s="94">
        <f>O5-N5</f>
        <v>530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4</v>
      </c>
      <c r="E10" s="61"/>
      <c r="F10" s="61">
        <f>Konvention_1slave-INslave</f>
        <v>5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5.333333333333333</v>
      </c>
      <c r="M10" s="27">
        <f>2*L10</f>
        <v>10.666666666666666</v>
      </c>
      <c r="N10" s="28">
        <f>3*L10</f>
        <v>16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3042</v>
      </c>
      <c r="P10" s="11">
        <f>D10*F10*GEslave+D10*INslave*I10+MUslave*F10*I10</f>
        <v>1157</v>
      </c>
      <c r="Q10" s="62">
        <f>IFERROR(D10^SIGN(D10),1)*IFERROR(E10^SIGN(E10),1)*IFERROR(F10^SIGN(F10),1)*IFERROR(G10^SIGN(G10),1)*IFERROR(H10^SIGN(H10),1)*IFERROR(I10^SIGN(I10),1)*IFERROR(J10^SIGN(J10),1)*IFERROR(K10^SIGN(K10),1)</f>
        <v>140</v>
      </c>
      <c r="R10" s="60">
        <f>SUM(O10:Q10)</f>
        <v>4339</v>
      </c>
      <c r="S10" s="29">
        <f>L10*O10/R10</f>
        <v>3.739110394100023</v>
      </c>
      <c r="T10" s="30">
        <f>M10*P10/R10</f>
        <v>2.8442805561957436</v>
      </c>
      <c r="U10" s="31">
        <f>N10*Q10/R10</f>
        <v>0.51624798340631484</v>
      </c>
      <c r="V10" s="3">
        <f>SUM(S10:U10)</f>
        <v>7.0996389337020815</v>
      </c>
      <c r="W10" s="129">
        <f t="shared" ref="W10:W23" si="0">Istwerte</f>
        <v>0</v>
      </c>
      <c r="X10" s="3">
        <f>V10-W10</f>
        <v>7.0996389337020815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14.199277867404163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4</v>
      </c>
      <c r="E11" s="21"/>
      <c r="F11" s="21"/>
      <c r="G11" s="21">
        <f>Konvention_1slave-CHslave</f>
        <v>7</v>
      </c>
      <c r="H11" s="21">
        <f>Konvention_1slave-FFslave</f>
        <v>6</v>
      </c>
      <c r="I11" s="21"/>
      <c r="J11" s="21"/>
      <c r="K11" s="22"/>
      <c r="L11" s="27">
        <f>(D11+E11+F11+G11+H11+I11+J11+K11)/3</f>
        <v>5.666666666666667</v>
      </c>
      <c r="M11" s="27">
        <f t="shared" ref="M11:M72" si="1">2*L11</f>
        <v>11.333333333333334</v>
      </c>
      <c r="N11" s="32">
        <f t="shared" ref="N11:N72" si="2">3*L11</f>
        <v>17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3069</v>
      </c>
      <c r="P11" s="11">
        <f>D11*G11*FFslave+D11*CHslave*H11+MUslave*G11*H11</f>
        <v>1282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168</v>
      </c>
      <c r="R11" s="20">
        <f>SUM(O11:Q11)</f>
        <v>4519</v>
      </c>
      <c r="S11" s="33">
        <f t="shared" ref="S11:S72" si="4">L11*O11/R11</f>
        <v>3.8484177915468023</v>
      </c>
      <c r="T11" s="26">
        <f t="shared" ref="T11:T72" si="5">M11*P11/R11</f>
        <v>3.2151655971085051</v>
      </c>
      <c r="U11" s="34">
        <f t="shared" ref="U11:U72" si="6">N11*Q11/R11</f>
        <v>0.63199822969683561</v>
      </c>
      <c r="V11" s="4">
        <f t="shared" ref="V11:V72" si="7">SUM(S11:U11)</f>
        <v>7.6955816183521435</v>
      </c>
      <c r="W11" s="123">
        <f t="shared" si="0"/>
        <v>0</v>
      </c>
      <c r="X11" s="4">
        <f t="shared" ref="X11:X72" si="8">V11-W11</f>
        <v>7.6955816183521435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7.6955816183521435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4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11</v>
      </c>
      <c r="L12" s="27">
        <f>(D12+E12+F12+G12+H12+I12+J12+K12)/3</f>
        <v>7.333333333333333</v>
      </c>
      <c r="M12" s="27">
        <f t="shared" si="1"/>
        <v>14.666666666666666</v>
      </c>
      <c r="N12" s="32">
        <f t="shared" si="2"/>
        <v>22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3204</v>
      </c>
      <c r="P12" s="11">
        <f>D12*I12*KKslave+D12*GEslave*K12+MUslave*I12*K12</f>
        <v>1907</v>
      </c>
      <c r="Q12" s="22">
        <f t="shared" si="3"/>
        <v>308</v>
      </c>
      <c r="R12" s="20">
        <f t="shared" ref="R12:R22" si="10">SUM(O12:Q12)</f>
        <v>5419</v>
      </c>
      <c r="S12" s="33">
        <f t="shared" si="4"/>
        <v>4.3358553238604909</v>
      </c>
      <c r="T12" s="26">
        <f t="shared" si="5"/>
        <v>5.1613458817740048</v>
      </c>
      <c r="U12" s="34">
        <f t="shared" si="6"/>
        <v>1.2504152057575197</v>
      </c>
      <c r="V12" s="4">
        <f t="shared" si="7"/>
        <v>10.747616411392016</v>
      </c>
      <c r="W12" s="123">
        <f t="shared" si="0"/>
        <v>0</v>
      </c>
      <c r="X12" s="4">
        <f t="shared" si="8"/>
        <v>10.747616411392016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21.495232822784033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6</v>
      </c>
      <c r="K13" s="22"/>
      <c r="L13" s="27">
        <f>(I13+I13+J13)/3</f>
        <v>6.666666666666667</v>
      </c>
      <c r="M13" s="27">
        <f t="shared" si="1"/>
        <v>13.333333333333334</v>
      </c>
      <c r="N13" s="32">
        <f t="shared" si="2"/>
        <v>20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3048</v>
      </c>
      <c r="P13" s="11">
        <f>I13*I13*KOslave+I13*GEslave*J13+GEslave*I13*J13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10"/>
        <v>4987</v>
      </c>
      <c r="S13" s="33">
        <f t="shared" si="4"/>
        <v>4.0745939442550636</v>
      </c>
      <c r="T13" s="26">
        <f t="shared" si="5"/>
        <v>4.3981017311677029</v>
      </c>
      <c r="U13" s="34">
        <f t="shared" si="6"/>
        <v>1.1790655704832564</v>
      </c>
      <c r="V13" s="4">
        <f t="shared" si="7"/>
        <v>9.6517612459060231</v>
      </c>
      <c r="W13" s="123">
        <f t="shared" si="0"/>
        <v>0</v>
      </c>
      <c r="X13" s="4">
        <f t="shared" si="8"/>
        <v>9.6517612459060231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11</v>
      </c>
      <c r="L14" s="27">
        <f>(J14+K14+K14)/3</f>
        <v>9.3333333333333339</v>
      </c>
      <c r="M14" s="27">
        <f t="shared" si="1"/>
        <v>18.666666666666668</v>
      </c>
      <c r="N14" s="32">
        <f t="shared" si="2"/>
        <v>28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2672</v>
      </c>
      <c r="P14" s="11">
        <f>J14*K14*KKslave+J14*KKslave*K14+KOslave*K14*K14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10"/>
        <v>6027</v>
      </c>
      <c r="S14" s="33">
        <f t="shared" si="4"/>
        <v>4.137824235385211</v>
      </c>
      <c r="T14" s="26">
        <f t="shared" si="5"/>
        <v>8.1424699961285327</v>
      </c>
      <c r="U14" s="34">
        <f t="shared" si="6"/>
        <v>3.3728222996515678</v>
      </c>
      <c r="V14" s="4">
        <f t="shared" si="7"/>
        <v>15.65311653116531</v>
      </c>
      <c r="W14" s="123">
        <f t="shared" si="0"/>
        <v>0</v>
      </c>
      <c r="X14" s="4">
        <f t="shared" si="8"/>
        <v>15.65311653116531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7</v>
      </c>
      <c r="J15" s="21"/>
      <c r="K15" s="22">
        <f>Konvention_1slave-KKslave</f>
        <v>11</v>
      </c>
      <c r="L15" s="27">
        <f>(D15+E15+F15+G15+H15+I15+J15+K15)/3</f>
        <v>8.3333333333333339</v>
      </c>
      <c r="M15" s="27">
        <f t="shared" si="1"/>
        <v>16.666666666666668</v>
      </c>
      <c r="N15" s="32">
        <f t="shared" si="2"/>
        <v>25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2928</v>
      </c>
      <c r="P15" s="11">
        <f>G15*I15*KKslave+G15*GEslave*K15+CHslave*I15*K15</f>
        <v>2240</v>
      </c>
      <c r="Q15" s="22">
        <f t="shared" si="3"/>
        <v>539</v>
      </c>
      <c r="R15" s="20">
        <f t="shared" si="10"/>
        <v>5707</v>
      </c>
      <c r="S15" s="33">
        <f t="shared" si="4"/>
        <v>4.2754512002803571</v>
      </c>
      <c r="T15" s="26">
        <f t="shared" si="5"/>
        <v>6.541673967642077</v>
      </c>
      <c r="U15" s="34">
        <f t="shared" si="6"/>
        <v>2.361135447695812</v>
      </c>
      <c r="V15" s="4">
        <f t="shared" si="7"/>
        <v>13.178260615618246</v>
      </c>
      <c r="W15" s="123">
        <f t="shared" si="0"/>
        <v>0</v>
      </c>
      <c r="X15" s="4">
        <f t="shared" si="8"/>
        <v>13.178260615618246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29.069563693709476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6</v>
      </c>
      <c r="K16" s="22">
        <f>Konvention_1slave-KKslave</f>
        <v>11</v>
      </c>
      <c r="L16" s="27">
        <f>(D16+E16+F16+G16+H16+I16+J16+K16)/3</f>
        <v>8</v>
      </c>
      <c r="M16" s="27">
        <f t="shared" si="1"/>
        <v>16</v>
      </c>
      <c r="N16" s="32">
        <f t="shared" si="2"/>
        <v>24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3020</v>
      </c>
      <c r="P16" s="11">
        <f>I16*J16*KKslave+I16*KOslave*K16+GEslave*J16*K16</f>
        <v>2129</v>
      </c>
      <c r="Q16" s="22">
        <f t="shared" si="3"/>
        <v>462</v>
      </c>
      <c r="R16" s="20">
        <f t="shared" si="10"/>
        <v>5611</v>
      </c>
      <c r="S16" s="33">
        <f t="shared" si="4"/>
        <v>4.3058278381750137</v>
      </c>
      <c r="T16" s="26">
        <f t="shared" si="5"/>
        <v>6.0709320976653007</v>
      </c>
      <c r="U16" s="34">
        <f t="shared" si="6"/>
        <v>1.9761183389770094</v>
      </c>
      <c r="V16" s="4">
        <f t="shared" si="7"/>
        <v>12.352878274817325</v>
      </c>
      <c r="W16" s="123">
        <f t="shared" si="0"/>
        <v>0</v>
      </c>
      <c r="X16" s="4">
        <f t="shared" si="8"/>
        <v>12.352878274817325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25.4115130992693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4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4.666666666666667</v>
      </c>
      <c r="M17" s="27">
        <f t="shared" si="1"/>
        <v>9.3333333333333339</v>
      </c>
      <c r="N17" s="32">
        <f t="shared" si="2"/>
        <v>14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2910</v>
      </c>
      <c r="P17" s="11">
        <f>D17*D17*KOslave+D17*MUslave*J17+MUslave*D17*J17</f>
        <v>928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96</v>
      </c>
      <c r="R17" s="20">
        <f t="shared" si="10"/>
        <v>3934</v>
      </c>
      <c r="S17" s="33">
        <f t="shared" si="4"/>
        <v>3.4519572953736657</v>
      </c>
      <c r="T17" s="26">
        <f t="shared" si="5"/>
        <v>2.2016607354685647</v>
      </c>
      <c r="U17" s="34">
        <f t="shared" si="6"/>
        <v>0.34163701067615659</v>
      </c>
      <c r="V17" s="4">
        <f t="shared" si="7"/>
        <v>5.9952550415183863</v>
      </c>
      <c r="W17" s="123">
        <f t="shared" si="0"/>
        <v>0</v>
      </c>
      <c r="X17" s="4">
        <f t="shared" si="8"/>
        <v>5.9952550415183863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23.981020166073545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7</v>
      </c>
      <c r="H18" s="21"/>
      <c r="I18" s="21"/>
      <c r="J18" s="21">
        <f>Konvention_1slave-KOslave</f>
        <v>6</v>
      </c>
      <c r="K18" s="22"/>
      <c r="L18" s="27">
        <f>(D18+E18+F18+G18+H18+I18+J18+K18)/3</f>
        <v>6</v>
      </c>
      <c r="M18" s="27">
        <f t="shared" si="1"/>
        <v>12</v>
      </c>
      <c r="N18" s="32">
        <f t="shared" si="2"/>
        <v>18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3062</v>
      </c>
      <c r="P18" s="11">
        <f>E18*G18*KOslave+E18*CHslave*J18+KLslave*G18*J18</f>
        <v>1403</v>
      </c>
      <c r="Q18" s="22">
        <f t="shared" si="3"/>
        <v>210</v>
      </c>
      <c r="R18" s="20">
        <f t="shared" si="10"/>
        <v>4675</v>
      </c>
      <c r="S18" s="33">
        <f t="shared" si="4"/>
        <v>3.9298395721925132</v>
      </c>
      <c r="T18" s="26">
        <f t="shared" si="5"/>
        <v>3.6012834224598929</v>
      </c>
      <c r="U18" s="34">
        <f t="shared" si="6"/>
        <v>0.80855614973262036</v>
      </c>
      <c r="V18" s="4">
        <f t="shared" si="7"/>
        <v>8.3396791443850269</v>
      </c>
      <c r="W18" s="123">
        <f t="shared" si="0"/>
        <v>0</v>
      </c>
      <c r="X18" s="4">
        <f t="shared" si="8"/>
        <v>8.3396791443850269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8.3396791443850269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1"/>
        <v>10</v>
      </c>
      <c r="N19" s="32">
        <f t="shared" si="2"/>
        <v>15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2940</v>
      </c>
      <c r="P19" s="11">
        <f>E19*F19*INslave+E19*INslave*F19+KLslave*F19*F19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10"/>
        <v>4115</v>
      </c>
      <c r="S19" s="33">
        <f t="shared" si="4"/>
        <v>3.5722964763061968</v>
      </c>
      <c r="T19" s="26">
        <f t="shared" si="5"/>
        <v>2.5516403402187122</v>
      </c>
      <c r="U19" s="34">
        <f t="shared" si="6"/>
        <v>0.45565006075334141</v>
      </c>
      <c r="V19" s="4">
        <f t="shared" si="7"/>
        <v>6.57958687727825</v>
      </c>
      <c r="W19" s="123">
        <f t="shared" si="0"/>
        <v>0</v>
      </c>
      <c r="X19" s="4">
        <f t="shared" si="8"/>
        <v>6.57958687727825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7</v>
      </c>
      <c r="H20" s="21"/>
      <c r="I20" s="21">
        <f>Konvention_1slave-GEslave</f>
        <v>7</v>
      </c>
      <c r="J20" s="21"/>
      <c r="K20" s="22"/>
      <c r="L20" s="27">
        <f>(D20+E20+F20+G20+H20+I20+J20+K20)/3</f>
        <v>6.333333333333333</v>
      </c>
      <c r="M20" s="27">
        <f t="shared" si="1"/>
        <v>12.666666666666666</v>
      </c>
      <c r="N20" s="32">
        <f t="shared" si="2"/>
        <v>19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3072</v>
      </c>
      <c r="P20" s="11">
        <f>E20*G20*GEslave+E20*CHslave*I20+KLslave*G20*I20</f>
        <v>1526</v>
      </c>
      <c r="Q20" s="22">
        <f t="shared" si="3"/>
        <v>245</v>
      </c>
      <c r="R20" s="20">
        <f t="shared" si="10"/>
        <v>4843</v>
      </c>
      <c r="S20" s="33">
        <f t="shared" si="4"/>
        <v>4.0173446211026222</v>
      </c>
      <c r="T20" s="26">
        <f t="shared" si="5"/>
        <v>3.9911900337256521</v>
      </c>
      <c r="U20" s="34">
        <f t="shared" si="6"/>
        <v>0.96118108610365471</v>
      </c>
      <c r="V20" s="4">
        <f t="shared" si="7"/>
        <v>8.9697157409319281</v>
      </c>
      <c r="W20" s="123">
        <f t="shared" si="0"/>
        <v>0</v>
      </c>
      <c r="X20" s="4">
        <f t="shared" si="8"/>
        <v>8.9697157409319281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8.9697157409319281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4</v>
      </c>
      <c r="E21" s="21"/>
      <c r="F21" s="21"/>
      <c r="G21" s="21"/>
      <c r="H21" s="21">
        <f>Konvention_1slave-FFslave</f>
        <v>6</v>
      </c>
      <c r="I21" s="21">
        <f>Konvention_1slave-GEslave</f>
        <v>7</v>
      </c>
      <c r="J21" s="21"/>
      <c r="K21" s="22"/>
      <c r="L21" s="27">
        <f>(D21+E21+F21+G21+H21+I21+J21+K21)/3</f>
        <v>5.666666666666667</v>
      </c>
      <c r="M21" s="27">
        <f t="shared" si="1"/>
        <v>11.333333333333334</v>
      </c>
      <c r="N21" s="32">
        <f t="shared" si="2"/>
        <v>17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3069</v>
      </c>
      <c r="P21" s="11">
        <f>D21*H21*GEslave+D21*FFslave*I21+MUslave*H21*I21</f>
        <v>1282</v>
      </c>
      <c r="Q21" s="22">
        <f t="shared" si="3"/>
        <v>168</v>
      </c>
      <c r="R21" s="20">
        <f t="shared" si="10"/>
        <v>4519</v>
      </c>
      <c r="S21" s="33">
        <f t="shared" si="4"/>
        <v>3.8484177915468023</v>
      </c>
      <c r="T21" s="26">
        <f t="shared" si="5"/>
        <v>3.2151655971085051</v>
      </c>
      <c r="U21" s="34">
        <f t="shared" si="6"/>
        <v>0.63199822969683561</v>
      </c>
      <c r="V21" s="4">
        <f t="shared" si="7"/>
        <v>7.6955816183521435</v>
      </c>
      <c r="W21" s="123">
        <f t="shared" si="0"/>
        <v>0</v>
      </c>
      <c r="X21" s="4">
        <f t="shared" si="8"/>
        <v>7.6955816183521435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15.391163236704287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4</v>
      </c>
      <c r="E22" s="21"/>
      <c r="F22" s="21">
        <f>Konvention_1slave-INslave</f>
        <v>5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5.333333333333333</v>
      </c>
      <c r="M22" s="27">
        <f t="shared" si="1"/>
        <v>10.666666666666666</v>
      </c>
      <c r="N22" s="32">
        <f t="shared" si="2"/>
        <v>16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3042</v>
      </c>
      <c r="P22" s="11">
        <f>D22*F22*GEslave+D22*INslave*I22+MUslave*F22*I22</f>
        <v>1157</v>
      </c>
      <c r="Q22" s="22">
        <f t="shared" si="3"/>
        <v>140</v>
      </c>
      <c r="R22" s="20">
        <f t="shared" si="10"/>
        <v>4339</v>
      </c>
      <c r="S22" s="33">
        <f t="shared" si="4"/>
        <v>3.739110394100023</v>
      </c>
      <c r="T22" s="26">
        <f t="shared" si="5"/>
        <v>2.8442805561957436</v>
      </c>
      <c r="U22" s="34">
        <f t="shared" si="6"/>
        <v>0.51624798340631484</v>
      </c>
      <c r="V22" s="4">
        <f t="shared" si="7"/>
        <v>7.0996389337020815</v>
      </c>
      <c r="W22" s="123">
        <f t="shared" si="0"/>
        <v>0</v>
      </c>
      <c r="X22" s="4">
        <f t="shared" si="8"/>
        <v>7.0996389337020815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21.298916801106245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11</v>
      </c>
      <c r="L23" s="25">
        <f>(D23+E23+F23+G23+H23+I23+J23+K23)/3</f>
        <v>7.333333333333333</v>
      </c>
      <c r="M23" s="25">
        <f t="shared" si="1"/>
        <v>14.666666666666666</v>
      </c>
      <c r="N23" s="36">
        <f t="shared" si="2"/>
        <v>22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3194</v>
      </c>
      <c r="P23" s="19">
        <f>E23*J23*KKslave+E23*KOslave*K23+KLslave*J23*K23</f>
        <v>1879</v>
      </c>
      <c r="Q23" s="23">
        <f t="shared" si="3"/>
        <v>330</v>
      </c>
      <c r="R23" s="24">
        <f>SUM(O23:Q23)</f>
        <v>5403</v>
      </c>
      <c r="S23" s="37">
        <f t="shared" si="4"/>
        <v>4.3351224628292915</v>
      </c>
      <c r="T23" s="25">
        <f t="shared" si="5"/>
        <v>5.1006231106175575</v>
      </c>
      <c r="U23" s="38">
        <f t="shared" si="6"/>
        <v>1.3436979455857856</v>
      </c>
      <c r="V23" s="5">
        <f t="shared" si="7"/>
        <v>10.779443519032634</v>
      </c>
      <c r="W23" s="123">
        <f t="shared" si="0"/>
        <v>0</v>
      </c>
      <c r="X23" s="5">
        <f t="shared" si="8"/>
        <v>10.779443519032634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10.779443519032634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4</v>
      </c>
      <c r="E25" s="61">
        <f>Konvention_1slave-KLslave</f>
        <v>5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5.333333333333333</v>
      </c>
      <c r="M25" s="27">
        <f t="shared" si="1"/>
        <v>10.666666666666666</v>
      </c>
      <c r="N25" s="28">
        <f t="shared" si="2"/>
        <v>16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3042</v>
      </c>
      <c r="P25" s="11">
        <f>D25*E25*CHslave+D25*KLslave*G25+MUslave*E25*G25</f>
        <v>1157</v>
      </c>
      <c r="Q25" s="62">
        <f t="shared" si="3"/>
        <v>140</v>
      </c>
      <c r="R25" s="60">
        <f>SUM(O25:Q25)</f>
        <v>4339</v>
      </c>
      <c r="S25" s="29">
        <f t="shared" si="4"/>
        <v>3.739110394100023</v>
      </c>
      <c r="T25" s="30">
        <f t="shared" si="5"/>
        <v>2.8442805561957436</v>
      </c>
      <c r="U25" s="31">
        <f t="shared" si="6"/>
        <v>0.51624798340631484</v>
      </c>
      <c r="V25" s="12">
        <f t="shared" si="7"/>
        <v>7.0996389337020815</v>
      </c>
      <c r="W25" s="123">
        <f t="shared" ref="W25:W33" si="12">Istwerte</f>
        <v>0</v>
      </c>
      <c r="X25" s="3">
        <f t="shared" si="8"/>
        <v>7.0996389337020815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14.199277867404163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4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</v>
      </c>
      <c r="M26" s="27">
        <f t="shared" si="1"/>
        <v>12</v>
      </c>
      <c r="N26" s="32">
        <f t="shared" si="2"/>
        <v>18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3096</v>
      </c>
      <c r="P26" s="11">
        <f>D26*G26*CHslave+D26*CHslave*G26+MUslave*G26*G26</f>
        <v>1407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196</v>
      </c>
      <c r="R26" s="20">
        <f t="shared" ref="R26:R32" si="13">SUM(O26:Q26)</f>
        <v>4699</v>
      </c>
      <c r="S26" s="33">
        <f t="shared" si="4"/>
        <v>3.9531815279846776</v>
      </c>
      <c r="T26" s="26">
        <f t="shared" si="5"/>
        <v>3.5931049159395618</v>
      </c>
      <c r="U26" s="34">
        <f t="shared" si="6"/>
        <v>0.75079804213662482</v>
      </c>
      <c r="V26" s="13">
        <f t="shared" si="7"/>
        <v>8.2970844860608644</v>
      </c>
      <c r="W26" s="123">
        <f t="shared" si="12"/>
        <v>0</v>
      </c>
      <c r="X26" s="4">
        <f t="shared" si="8"/>
        <v>8.2970844860608644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16.594168972121729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4</v>
      </c>
      <c r="E27" s="21"/>
      <c r="F27" s="21">
        <f t="shared" ref="F27:F33" si="14">Konvention_1slave-INslave</f>
        <v>5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5.333333333333333</v>
      </c>
      <c r="M27" s="27">
        <f t="shared" si="1"/>
        <v>10.666666666666666</v>
      </c>
      <c r="N27" s="32">
        <f t="shared" si="2"/>
        <v>16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3042</v>
      </c>
      <c r="P27" s="11">
        <f>D27*F27*CHslave+D27*INslave*G27+MUslave*F27*G27</f>
        <v>1157</v>
      </c>
      <c r="Q27" s="22">
        <f t="shared" si="3"/>
        <v>140</v>
      </c>
      <c r="R27" s="20">
        <f t="shared" si="13"/>
        <v>4339</v>
      </c>
      <c r="S27" s="33">
        <f t="shared" si="4"/>
        <v>3.739110394100023</v>
      </c>
      <c r="T27" s="26">
        <f t="shared" si="5"/>
        <v>2.8442805561957436</v>
      </c>
      <c r="U27" s="34">
        <f t="shared" si="6"/>
        <v>0.51624798340631484</v>
      </c>
      <c r="V27" s="13">
        <f t="shared" si="7"/>
        <v>7.0996389337020815</v>
      </c>
      <c r="W27" s="123">
        <f t="shared" si="12"/>
        <v>0</v>
      </c>
      <c r="X27" s="4">
        <f t="shared" si="8"/>
        <v>7.0996389337020815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14.199277867404163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5</v>
      </c>
      <c r="G28" s="21">
        <f t="shared" si="11"/>
        <v>7</v>
      </c>
      <c r="H28" s="21"/>
      <c r="I28" s="21"/>
      <c r="J28" s="21"/>
      <c r="K28" s="22"/>
      <c r="L28" s="27">
        <f t="shared" si="15"/>
        <v>5.666666666666667</v>
      </c>
      <c r="M28" s="27">
        <f t="shared" si="1"/>
        <v>11.333333333333334</v>
      </c>
      <c r="N28" s="32">
        <f t="shared" si="2"/>
        <v>17</v>
      </c>
      <c r="O28" s="11">
        <f t="shared" si="16"/>
        <v>3052</v>
      </c>
      <c r="P28" s="11">
        <f>E28*F28*CHslave+E28*INslave*G28+KLslave*F28*G28</f>
        <v>1280</v>
      </c>
      <c r="Q28" s="22">
        <f t="shared" si="3"/>
        <v>175</v>
      </c>
      <c r="R28" s="20">
        <f t="shared" si="13"/>
        <v>4507</v>
      </c>
      <c r="S28" s="33">
        <f t="shared" si="4"/>
        <v>3.8372901412617413</v>
      </c>
      <c r="T28" s="26">
        <f t="shared" si="5"/>
        <v>3.2186968419495603</v>
      </c>
      <c r="U28" s="34">
        <f t="shared" si="6"/>
        <v>0.66008431329043715</v>
      </c>
      <c r="V28" s="13">
        <f t="shared" si="7"/>
        <v>7.7160712965017391</v>
      </c>
      <c r="W28" s="123">
        <f t="shared" si="12"/>
        <v>0</v>
      </c>
      <c r="X28" s="4">
        <f t="shared" si="8"/>
        <v>7.7160712965017391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15.432142593003478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5</v>
      </c>
      <c r="G29" s="21">
        <f t="shared" si="11"/>
        <v>7</v>
      </c>
      <c r="H29" s="21"/>
      <c r="I29" s="21"/>
      <c r="J29" s="21"/>
      <c r="K29" s="22"/>
      <c r="L29" s="27">
        <f t="shared" si="15"/>
        <v>5.666666666666667</v>
      </c>
      <c r="M29" s="27">
        <f t="shared" si="1"/>
        <v>11.333333333333334</v>
      </c>
      <c r="N29" s="32">
        <f t="shared" si="2"/>
        <v>17</v>
      </c>
      <c r="O29" s="11">
        <f t="shared" si="16"/>
        <v>3052</v>
      </c>
      <c r="P29" s="11">
        <f>E29*F29*CHslave+E29*INslave*G29+KLslave*F29*G29</f>
        <v>1280</v>
      </c>
      <c r="Q29" s="22">
        <f t="shared" si="3"/>
        <v>175</v>
      </c>
      <c r="R29" s="20">
        <f t="shared" si="13"/>
        <v>4507</v>
      </c>
      <c r="S29" s="33">
        <f t="shared" si="4"/>
        <v>3.8372901412617413</v>
      </c>
      <c r="T29" s="26">
        <f t="shared" si="5"/>
        <v>3.2186968419495603</v>
      </c>
      <c r="U29" s="34">
        <f t="shared" si="6"/>
        <v>0.66008431329043715</v>
      </c>
      <c r="V29" s="13">
        <f t="shared" si="7"/>
        <v>7.7160712965017391</v>
      </c>
      <c r="W29" s="123">
        <f t="shared" si="12"/>
        <v>0</v>
      </c>
      <c r="X29" s="4">
        <f t="shared" si="8"/>
        <v>7.7160712965017391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23.148213889505218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5</v>
      </c>
      <c r="G30" s="21">
        <f t="shared" si="11"/>
        <v>7</v>
      </c>
      <c r="H30" s="21"/>
      <c r="I30" s="21"/>
      <c r="J30" s="21"/>
      <c r="K30" s="22"/>
      <c r="L30" s="27">
        <f t="shared" si="15"/>
        <v>5.666666666666667</v>
      </c>
      <c r="M30" s="27">
        <f t="shared" si="1"/>
        <v>11.333333333333334</v>
      </c>
      <c r="N30" s="32">
        <f t="shared" si="2"/>
        <v>17</v>
      </c>
      <c r="O30" s="11">
        <f t="shared" si="16"/>
        <v>3052</v>
      </c>
      <c r="P30" s="11">
        <f>E30*F30*CHslave+E30*INslave*G30+KLslave*F30*G30</f>
        <v>1280</v>
      </c>
      <c r="Q30" s="22">
        <f t="shared" si="3"/>
        <v>175</v>
      </c>
      <c r="R30" s="20">
        <f t="shared" si="13"/>
        <v>4507</v>
      </c>
      <c r="S30" s="33">
        <f t="shared" si="4"/>
        <v>3.8372901412617413</v>
      </c>
      <c r="T30" s="26">
        <f t="shared" si="5"/>
        <v>3.2186968419495603</v>
      </c>
      <c r="U30" s="34">
        <f t="shared" si="6"/>
        <v>0.66008431329043715</v>
      </c>
      <c r="V30" s="13">
        <f t="shared" si="7"/>
        <v>7.7160712965017391</v>
      </c>
      <c r="W30" s="123">
        <f t="shared" si="12"/>
        <v>0</v>
      </c>
      <c r="X30" s="4">
        <f t="shared" si="8"/>
        <v>7.7160712965017391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23.148213889505218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4</v>
      </c>
      <c r="E31" s="21"/>
      <c r="F31" s="21">
        <f t="shared" si="14"/>
        <v>5</v>
      </c>
      <c r="G31" s="21">
        <f t="shared" si="11"/>
        <v>7</v>
      </c>
      <c r="H31" s="21"/>
      <c r="I31" s="21"/>
      <c r="J31" s="21"/>
      <c r="K31" s="22"/>
      <c r="L31" s="27">
        <f t="shared" si="15"/>
        <v>5.333333333333333</v>
      </c>
      <c r="M31" s="27">
        <f t="shared" si="1"/>
        <v>10.666666666666666</v>
      </c>
      <c r="N31" s="32">
        <f t="shared" si="2"/>
        <v>16</v>
      </c>
      <c r="O31" s="11">
        <f t="shared" si="16"/>
        <v>3042</v>
      </c>
      <c r="P31" s="11">
        <f>D31*F31*CHslave+D31*INslave*G31+MUslave*F31*G31</f>
        <v>1157</v>
      </c>
      <c r="Q31" s="22">
        <f t="shared" si="3"/>
        <v>140</v>
      </c>
      <c r="R31" s="20">
        <f t="shared" si="13"/>
        <v>4339</v>
      </c>
      <c r="S31" s="33">
        <f t="shared" si="4"/>
        <v>3.739110394100023</v>
      </c>
      <c r="T31" s="26">
        <f t="shared" si="5"/>
        <v>2.8442805561957436</v>
      </c>
      <c r="U31" s="34">
        <f t="shared" si="6"/>
        <v>0.51624798340631484</v>
      </c>
      <c r="V31" s="13">
        <f t="shared" si="7"/>
        <v>7.0996389337020815</v>
      </c>
      <c r="W31" s="123">
        <f t="shared" si="12"/>
        <v>0</v>
      </c>
      <c r="X31" s="4">
        <f t="shared" si="8"/>
        <v>7.0996389337020815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21.298916801106245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7</v>
      </c>
      <c r="H32" s="21"/>
      <c r="I32" s="21">
        <f>Konvention_1slave-GEslave</f>
        <v>7</v>
      </c>
      <c r="J32" s="21"/>
      <c r="K32" s="22"/>
      <c r="L32" s="27">
        <f t="shared" si="15"/>
        <v>6.333333333333333</v>
      </c>
      <c r="M32" s="27">
        <f t="shared" si="1"/>
        <v>12.666666666666666</v>
      </c>
      <c r="N32" s="32">
        <f t="shared" si="2"/>
        <v>19</v>
      </c>
      <c r="O32" s="11">
        <f t="shared" si="16"/>
        <v>3072</v>
      </c>
      <c r="P32" s="11">
        <f>F32*G32*GEslave+F32*CHslave*I32+INslave*G32*I32</f>
        <v>1526</v>
      </c>
      <c r="Q32" s="22">
        <f t="shared" si="3"/>
        <v>245</v>
      </c>
      <c r="R32" s="20">
        <f t="shared" si="13"/>
        <v>4843</v>
      </c>
      <c r="S32" s="33">
        <f t="shared" si="4"/>
        <v>4.0173446211026222</v>
      </c>
      <c r="T32" s="26">
        <f t="shared" si="5"/>
        <v>3.9911900337256521</v>
      </c>
      <c r="U32" s="34">
        <f t="shared" si="6"/>
        <v>0.96118108610365471</v>
      </c>
      <c r="V32" s="13">
        <f t="shared" si="7"/>
        <v>8.9697157409319281</v>
      </c>
      <c r="W32" s="123">
        <f t="shared" si="12"/>
        <v>0</v>
      </c>
      <c r="X32" s="4">
        <f t="shared" si="8"/>
        <v>8.9697157409319281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17.939431481863856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4</v>
      </c>
      <c r="E33" s="19"/>
      <c r="F33" s="19">
        <f t="shared" si="14"/>
        <v>5</v>
      </c>
      <c r="G33" s="19">
        <f t="shared" si="11"/>
        <v>7</v>
      </c>
      <c r="H33" s="19"/>
      <c r="I33" s="19"/>
      <c r="J33" s="19"/>
      <c r="K33" s="23"/>
      <c r="L33" s="37">
        <f t="shared" si="15"/>
        <v>5.333333333333333</v>
      </c>
      <c r="M33" s="25">
        <f t="shared" si="1"/>
        <v>10.666666666666666</v>
      </c>
      <c r="N33" s="36">
        <f t="shared" si="2"/>
        <v>16</v>
      </c>
      <c r="O33" s="19">
        <f t="shared" si="16"/>
        <v>3042</v>
      </c>
      <c r="P33" s="19">
        <f>D33*F33*CHslave+D33*INslave*G33+MUslave*F33*G33</f>
        <v>1157</v>
      </c>
      <c r="Q33" s="23">
        <f t="shared" si="3"/>
        <v>140</v>
      </c>
      <c r="R33" s="24">
        <f>SUM(O33:Q33)</f>
        <v>4339</v>
      </c>
      <c r="S33" s="37">
        <f t="shared" si="4"/>
        <v>3.739110394100023</v>
      </c>
      <c r="T33" s="25">
        <f t="shared" si="5"/>
        <v>2.8442805561957436</v>
      </c>
      <c r="U33" s="38">
        <f t="shared" si="6"/>
        <v>0.51624798340631484</v>
      </c>
      <c r="V33" s="14">
        <f t="shared" si="7"/>
        <v>7.0996389337020815</v>
      </c>
      <c r="W33" s="123">
        <f t="shared" si="12"/>
        <v>0</v>
      </c>
      <c r="X33" s="5">
        <f t="shared" si="8"/>
        <v>7.0996389337020815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28.398555734808326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4</v>
      </c>
      <c r="E35" s="61"/>
      <c r="F35" s="61">
        <f>Konvention_1slave-INslave</f>
        <v>5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5.333333333333333</v>
      </c>
      <c r="M35" s="27">
        <f t="shared" si="1"/>
        <v>10.666666666666666</v>
      </c>
      <c r="N35" s="28">
        <f t="shared" si="2"/>
        <v>16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3042</v>
      </c>
      <c r="P35" s="11">
        <f>D35*F35*GEslave+D35*INslave*I35+MUslave*F35*I35</f>
        <v>1157</v>
      </c>
      <c r="Q35" s="62">
        <f t="shared" si="3"/>
        <v>140</v>
      </c>
      <c r="R35" s="60">
        <f t="shared" ref="R35:R41" si="17">SUM(O35:Q35)</f>
        <v>4339</v>
      </c>
      <c r="S35" s="29">
        <f t="shared" si="4"/>
        <v>3.739110394100023</v>
      </c>
      <c r="T35" s="30">
        <f t="shared" si="5"/>
        <v>2.8442805561957436</v>
      </c>
      <c r="U35" s="31">
        <f t="shared" si="6"/>
        <v>0.51624798340631484</v>
      </c>
      <c r="V35" s="12">
        <f t="shared" si="7"/>
        <v>7.0996389337020815</v>
      </c>
      <c r="W35" s="123">
        <f t="shared" ref="W35:W41" si="18">Istwerte</f>
        <v>0</v>
      </c>
      <c r="X35" s="3">
        <f t="shared" si="8"/>
        <v>7.0996389337020815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21.298916801106245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11</v>
      </c>
      <c r="L36" s="27">
        <f>(D36+E36+F36+G36+H36+I36+J36+K36)/3</f>
        <v>7.333333333333333</v>
      </c>
      <c r="M36" s="27">
        <f t="shared" si="1"/>
        <v>14.666666666666666</v>
      </c>
      <c r="N36" s="32">
        <f t="shared" si="2"/>
        <v>22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3194</v>
      </c>
      <c r="P36" s="11">
        <f>E36*H36*KKslave+E36*FFslave*K36+KLslave*H36*K36</f>
        <v>1879</v>
      </c>
      <c r="Q36" s="22">
        <f t="shared" si="3"/>
        <v>330</v>
      </c>
      <c r="R36" s="20">
        <f t="shared" si="17"/>
        <v>5403</v>
      </c>
      <c r="S36" s="33">
        <f t="shared" si="4"/>
        <v>4.3351224628292915</v>
      </c>
      <c r="T36" s="26">
        <f t="shared" si="5"/>
        <v>5.1006231106175575</v>
      </c>
      <c r="U36" s="34">
        <f t="shared" si="6"/>
        <v>1.3436979455857856</v>
      </c>
      <c r="V36" s="13">
        <f t="shared" si="7"/>
        <v>10.779443519032634</v>
      </c>
      <c r="W36" s="123">
        <f t="shared" si="18"/>
        <v>0</v>
      </c>
      <c r="X36" s="4">
        <f t="shared" si="8"/>
        <v>10.779443519032634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10.779443519032634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7</v>
      </c>
      <c r="J37" s="21">
        <f>Konvention_1slave-KOslave</f>
        <v>6</v>
      </c>
      <c r="K37" s="22"/>
      <c r="L37" s="27">
        <f>(D37+E37+F37+G37+H37+I37+J37+K37)/3</f>
        <v>6.333333333333333</v>
      </c>
      <c r="M37" s="27">
        <f t="shared" si="1"/>
        <v>12.666666666666666</v>
      </c>
      <c r="N37" s="32">
        <f t="shared" si="2"/>
        <v>19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3055</v>
      </c>
      <c r="P37" s="11">
        <f>H37*I37*KOslave+H37*GEslave*J37+FFslave*I37*J37</f>
        <v>1524</v>
      </c>
      <c r="Q37" s="22">
        <f t="shared" si="3"/>
        <v>252</v>
      </c>
      <c r="R37" s="20">
        <f t="shared" si="17"/>
        <v>4831</v>
      </c>
      <c r="S37" s="33">
        <f t="shared" si="4"/>
        <v>4.0050369143724556</v>
      </c>
      <c r="T37" s="26">
        <f t="shared" si="5"/>
        <v>3.9958600703788036</v>
      </c>
      <c r="U37" s="34">
        <f t="shared" si="6"/>
        <v>0.99109915131442761</v>
      </c>
      <c r="V37" s="13">
        <f t="shared" si="7"/>
        <v>8.991996136065687</v>
      </c>
      <c r="W37" s="123">
        <f t="shared" si="18"/>
        <v>0</v>
      </c>
      <c r="X37" s="4">
        <f t="shared" si="8"/>
        <v>8.991996136065687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8.991996136065687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1"/>
        <v>10</v>
      </c>
      <c r="N38" s="32">
        <f t="shared" si="2"/>
        <v>15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2940</v>
      </c>
      <c r="P38" s="11">
        <f>E38*F38*INslave+E38*INslave*F38+KLslave*F38*F38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7"/>
        <v>4115</v>
      </c>
      <c r="S38" s="33">
        <f t="shared" si="4"/>
        <v>3.5722964763061968</v>
      </c>
      <c r="T38" s="26">
        <f t="shared" si="5"/>
        <v>2.5516403402187122</v>
      </c>
      <c r="U38" s="34">
        <f t="shared" si="6"/>
        <v>0.45565006075334141</v>
      </c>
      <c r="V38" s="13">
        <f t="shared" si="7"/>
        <v>6.57958687727825</v>
      </c>
      <c r="W38" s="123">
        <f t="shared" si="18"/>
        <v>0</v>
      </c>
      <c r="X38" s="4">
        <f t="shared" si="8"/>
        <v>6.57958687727825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6</v>
      </c>
      <c r="I39" s="21"/>
      <c r="J39" s="21">
        <f>Konvention_1slave-KOslave</f>
        <v>6</v>
      </c>
      <c r="K39" s="22"/>
      <c r="L39" s="27">
        <f>(D39+E39+F39+G39+H39+I39+J39+K39)/3</f>
        <v>5.666666666666667</v>
      </c>
      <c r="M39" s="27">
        <f t="shared" si="1"/>
        <v>11.333333333333334</v>
      </c>
      <c r="N39" s="32">
        <f t="shared" si="2"/>
        <v>17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3029</v>
      </c>
      <c r="P39" s="11">
        <f>E39*H39*KOslave+E39*FFslave*J39+KLslave*H39*J39</f>
        <v>1284</v>
      </c>
      <c r="Q39" s="22">
        <f>IFERROR(D39^SIGN(D39),1)*IFERROR(E39^SIGN(E39),1)*IFERROR(F39^SIGN(F39),1)*IFERROR(G39^SIGN(G39),1)*IFERROR(H39^SIGN(H39),1)*IFERROR(I39^SIGN(I39),1)*IFERROR(J39^SIGN(J39),1)*IFERROR(K39^SIGN(K39),1)</f>
        <v>180</v>
      </c>
      <c r="R39" s="20">
        <f t="shared" si="17"/>
        <v>4493</v>
      </c>
      <c r="S39" s="33">
        <f t="shared" si="4"/>
        <v>3.8202388901253808</v>
      </c>
      <c r="T39" s="26">
        <f t="shared" si="5"/>
        <v>3.2388159359002895</v>
      </c>
      <c r="U39" s="34">
        <f t="shared" si="6"/>
        <v>0.68105942577342538</v>
      </c>
      <c r="V39" s="13">
        <f t="shared" si="7"/>
        <v>7.7401142517990964</v>
      </c>
      <c r="W39" s="123">
        <f t="shared" si="18"/>
        <v>0</v>
      </c>
      <c r="X39" s="4">
        <f t="shared" si="8"/>
        <v>7.7401142517990964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23.22034275539729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4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</v>
      </c>
      <c r="M40" s="27">
        <f t="shared" si="1"/>
        <v>10</v>
      </c>
      <c r="N40" s="32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3015</v>
      </c>
      <c r="P40" s="11">
        <f>D40*D40*CHslave+D40*MUslave*G40+MUslave*D40*G40</f>
        <v>1032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112</v>
      </c>
      <c r="R40" s="20">
        <f t="shared" si="17"/>
        <v>4159</v>
      </c>
      <c r="S40" s="33">
        <f t="shared" si="4"/>
        <v>3.6246693916806927</v>
      </c>
      <c r="T40" s="26">
        <f t="shared" si="5"/>
        <v>2.4813657129117574</v>
      </c>
      <c r="U40" s="34">
        <f t="shared" si="6"/>
        <v>0.4039432555902861</v>
      </c>
      <c r="V40" s="13">
        <f t="shared" si="7"/>
        <v>6.5099783601827363</v>
      </c>
      <c r="W40" s="123">
        <f t="shared" si="18"/>
        <v>0</v>
      </c>
      <c r="X40" s="4">
        <f t="shared" si="8"/>
        <v>6.5099783601827363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19.52993508054821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4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6</v>
      </c>
      <c r="K41" s="23"/>
      <c r="L41" s="37">
        <f>(D41+E41+F41+G41+H41+I41+J41+K41)/3</f>
        <v>5.666666666666667</v>
      </c>
      <c r="M41" s="25">
        <f t="shared" si="1"/>
        <v>11.333333333333334</v>
      </c>
      <c r="N41" s="36">
        <f t="shared" si="2"/>
        <v>17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3069</v>
      </c>
      <c r="P41" s="19">
        <f>D41*I41*KOslave+D41*GEslave*J41+MUslave*I41*J41</f>
        <v>1282</v>
      </c>
      <c r="Q41" s="23">
        <f t="shared" si="3"/>
        <v>168</v>
      </c>
      <c r="R41" s="24">
        <f t="shared" si="17"/>
        <v>4519</v>
      </c>
      <c r="S41" s="37">
        <f t="shared" si="4"/>
        <v>3.8484177915468023</v>
      </c>
      <c r="T41" s="25">
        <f t="shared" si="5"/>
        <v>3.2151655971085051</v>
      </c>
      <c r="U41" s="38">
        <f t="shared" si="6"/>
        <v>0.63199822969683561</v>
      </c>
      <c r="V41" s="14">
        <f t="shared" si="7"/>
        <v>7.6955816183521435</v>
      </c>
      <c r="W41" s="123">
        <f t="shared" si="18"/>
        <v>0</v>
      </c>
      <c r="X41" s="5">
        <f t="shared" si="8"/>
        <v>7.6955816183521435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23.08674485505643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1"/>
        <v>10</v>
      </c>
      <c r="N43" s="28">
        <f t="shared" si="2"/>
        <v>15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2940</v>
      </c>
      <c r="P43" s="11">
        <f>E43*E43*INslave+E43*KLslave*F43+KLslave*E43*F43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4"/>
        <v>3.5722964763061968</v>
      </c>
      <c r="T43" s="30">
        <f t="shared" si="5"/>
        <v>2.5516403402187122</v>
      </c>
      <c r="U43" s="31">
        <f t="shared" si="6"/>
        <v>0.45565006075334141</v>
      </c>
      <c r="V43" s="12">
        <f t="shared" si="7"/>
        <v>6.57958687727825</v>
      </c>
      <c r="W43" s="123">
        <f t="shared" ref="W43:W54" si="21">Istwerte</f>
        <v>0</v>
      </c>
      <c r="X43" s="3">
        <f t="shared" si="8"/>
        <v>6.57958687727825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1"/>
        <v>10</v>
      </c>
      <c r="N44" s="32">
        <f t="shared" si="2"/>
        <v>15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2940</v>
      </c>
      <c r="P44" s="11">
        <f>E44*E44*INslave+E44*KLslave*F44+KLslave*E44*F44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22">SUM(O44:Q44)</f>
        <v>4115</v>
      </c>
      <c r="S44" s="33">
        <f t="shared" si="4"/>
        <v>3.5722964763061968</v>
      </c>
      <c r="T44" s="26">
        <f t="shared" si="5"/>
        <v>2.5516403402187122</v>
      </c>
      <c r="U44" s="34">
        <f t="shared" si="6"/>
        <v>0.45565006075334141</v>
      </c>
      <c r="V44" s="13">
        <f t="shared" si="7"/>
        <v>6.57958687727825</v>
      </c>
      <c r="W44" s="123">
        <f t="shared" si="21"/>
        <v>0</v>
      </c>
      <c r="X44" s="4">
        <f t="shared" si="8"/>
        <v>6.57958687727825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1"/>
        <v>10</v>
      </c>
      <c r="N45" s="32">
        <f t="shared" si="2"/>
        <v>15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2940</v>
      </c>
      <c r="P45" s="11">
        <f>E45*E45*INslave+E45*KLslave*F45+KLslave*E45*F45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22"/>
        <v>4115</v>
      </c>
      <c r="S45" s="33">
        <f t="shared" si="4"/>
        <v>3.5722964763061968</v>
      </c>
      <c r="T45" s="26">
        <f t="shared" si="5"/>
        <v>2.5516403402187122</v>
      </c>
      <c r="U45" s="34">
        <f t="shared" si="6"/>
        <v>0.45565006075334141</v>
      </c>
      <c r="V45" s="13">
        <f t="shared" si="7"/>
        <v>6.57958687727825</v>
      </c>
      <c r="W45" s="123">
        <f t="shared" si="21"/>
        <v>0</v>
      </c>
      <c r="X45" s="4">
        <f t="shared" si="8"/>
        <v>6.57958687727825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1"/>
        <v>10</v>
      </c>
      <c r="N46" s="32">
        <f t="shared" si="2"/>
        <v>15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2940</v>
      </c>
      <c r="P46" s="11">
        <f>E46*E46*INslave+E46*KLslave*F46+KLslave*E46*F46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22"/>
        <v>4115</v>
      </c>
      <c r="S46" s="33">
        <f t="shared" si="4"/>
        <v>3.5722964763061968</v>
      </c>
      <c r="T46" s="26">
        <f t="shared" si="5"/>
        <v>2.5516403402187122</v>
      </c>
      <c r="U46" s="34">
        <f t="shared" si="6"/>
        <v>0.45565006075334141</v>
      </c>
      <c r="V46" s="13">
        <f t="shared" si="7"/>
        <v>6.57958687727825</v>
      </c>
      <c r="W46" s="123">
        <f t="shared" si="21"/>
        <v>0</v>
      </c>
      <c r="X46" s="4">
        <f t="shared" si="8"/>
        <v>6.57958687727825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4</v>
      </c>
      <c r="E47" s="21">
        <f t="shared" si="19"/>
        <v>5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4.666666666666667</v>
      </c>
      <c r="M47" s="27">
        <f t="shared" si="1"/>
        <v>9.3333333333333339</v>
      </c>
      <c r="N47" s="32">
        <f t="shared" si="2"/>
        <v>14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2884</v>
      </c>
      <c r="P47" s="11">
        <f>D47*E47*INslave+D47*KLslave*F47+MUslave*E47*F47</f>
        <v>935</v>
      </c>
      <c r="Q47" s="22">
        <f t="shared" si="3"/>
        <v>100</v>
      </c>
      <c r="R47" s="20">
        <f t="shared" si="22"/>
        <v>3919</v>
      </c>
      <c r="S47" s="33">
        <f t="shared" si="4"/>
        <v>3.4342094071616911</v>
      </c>
      <c r="T47" s="26">
        <f t="shared" si="5"/>
        <v>2.2267585268350771</v>
      </c>
      <c r="U47" s="34">
        <f t="shared" si="6"/>
        <v>0.35723398826231184</v>
      </c>
      <c r="V47" s="13">
        <f t="shared" si="7"/>
        <v>6.0182019222590801</v>
      </c>
      <c r="W47" s="123">
        <f t="shared" si="21"/>
        <v>0</v>
      </c>
      <c r="X47" s="4">
        <f t="shared" si="8"/>
        <v>6.0182019222590801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12.03640384451816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1"/>
        <v>10</v>
      </c>
      <c r="N48" s="32">
        <f t="shared" si="2"/>
        <v>15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2940</v>
      </c>
      <c r="P48" s="11">
        <f>E48*E48*INslave+E48*KLslave*F48+KLslave*E48*F48</f>
        <v>1050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22"/>
        <v>4115</v>
      </c>
      <c r="S48" s="33">
        <f t="shared" si="4"/>
        <v>3.5722964763061968</v>
      </c>
      <c r="T48" s="26">
        <f t="shared" si="5"/>
        <v>2.5516403402187122</v>
      </c>
      <c r="U48" s="34">
        <f t="shared" si="6"/>
        <v>0.45565006075334141</v>
      </c>
      <c r="V48" s="13">
        <f t="shared" si="7"/>
        <v>6.57958687727825</v>
      </c>
      <c r="W48" s="123">
        <f t="shared" si="21"/>
        <v>0</v>
      </c>
      <c r="X48" s="4">
        <f t="shared" si="8"/>
        <v>6.57958687727825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5.333333333333333</v>
      </c>
      <c r="M49" s="27">
        <f t="shared" si="1"/>
        <v>10.666666666666666</v>
      </c>
      <c r="N49" s="32">
        <f t="shared" si="2"/>
        <v>16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2996</v>
      </c>
      <c r="P49" s="11">
        <f>E49*E49*FFslave+E49*KLslave*H49+KLslave*E49*H49</f>
        <v>1165</v>
      </c>
      <c r="Q49" s="22">
        <f t="shared" si="23"/>
        <v>150</v>
      </c>
      <c r="R49" s="20">
        <f t="shared" si="22"/>
        <v>4311</v>
      </c>
      <c r="S49" s="33">
        <f t="shared" si="4"/>
        <v>3.7064872806000153</v>
      </c>
      <c r="T49" s="26">
        <f t="shared" si="5"/>
        <v>2.8825485192917344</v>
      </c>
      <c r="U49" s="34">
        <f t="shared" si="6"/>
        <v>0.55671537926235215</v>
      </c>
      <c r="V49" s="13">
        <f t="shared" si="7"/>
        <v>7.145751179154102</v>
      </c>
      <c r="W49" s="123">
        <f t="shared" si="21"/>
        <v>0</v>
      </c>
      <c r="X49" s="4">
        <f t="shared" si="8"/>
        <v>7.145751179154102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1"/>
        <v>10</v>
      </c>
      <c r="N50" s="32">
        <f t="shared" si="2"/>
        <v>15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2940</v>
      </c>
      <c r="P50" s="11">
        <f>E50*E50*INslave+E50*KLslave*F50+KLslave*E50*F50</f>
        <v>1050</v>
      </c>
      <c r="Q50" s="22">
        <f t="shared" si="23"/>
        <v>125</v>
      </c>
      <c r="R50" s="20">
        <f t="shared" si="22"/>
        <v>4115</v>
      </c>
      <c r="S50" s="33">
        <f t="shared" si="4"/>
        <v>3.5722964763061968</v>
      </c>
      <c r="T50" s="26">
        <f t="shared" si="5"/>
        <v>2.5516403402187122</v>
      </c>
      <c r="U50" s="34">
        <f t="shared" si="6"/>
        <v>0.45565006075334141</v>
      </c>
      <c r="V50" s="13">
        <f t="shared" si="7"/>
        <v>6.57958687727825</v>
      </c>
      <c r="W50" s="123">
        <f t="shared" si="21"/>
        <v>0</v>
      </c>
      <c r="X50" s="4">
        <f t="shared" si="8"/>
        <v>6.57958687727825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1"/>
        <v>10</v>
      </c>
      <c r="N51" s="32">
        <f t="shared" si="2"/>
        <v>15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2940</v>
      </c>
      <c r="P51" s="11">
        <f>E51*E51*INslave+E51*KLslave*F51+KLslave*E51*F51</f>
        <v>1050</v>
      </c>
      <c r="Q51" s="22">
        <f t="shared" si="23"/>
        <v>125</v>
      </c>
      <c r="R51" s="20">
        <f t="shared" si="22"/>
        <v>4115</v>
      </c>
      <c r="S51" s="33">
        <f t="shared" si="4"/>
        <v>3.5722964763061968</v>
      </c>
      <c r="T51" s="26">
        <f t="shared" si="5"/>
        <v>2.5516403402187122</v>
      </c>
      <c r="U51" s="34">
        <f t="shared" si="6"/>
        <v>0.45565006075334141</v>
      </c>
      <c r="V51" s="13">
        <f t="shared" si="7"/>
        <v>6.57958687727825</v>
      </c>
      <c r="W51" s="123">
        <f t="shared" si="21"/>
        <v>0</v>
      </c>
      <c r="X51" s="4">
        <f t="shared" si="8"/>
        <v>6.57958687727825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1"/>
        <v>10</v>
      </c>
      <c r="N52" s="32">
        <f t="shared" si="2"/>
        <v>15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2940</v>
      </c>
      <c r="P52" s="11">
        <f>E52*E52*INslave+E52*KLslave*F52+KLslave*E52*F52</f>
        <v>1050</v>
      </c>
      <c r="Q52" s="22">
        <f t="shared" si="23"/>
        <v>125</v>
      </c>
      <c r="R52" s="20">
        <f t="shared" si="22"/>
        <v>4115</v>
      </c>
      <c r="S52" s="33">
        <f t="shared" si="4"/>
        <v>3.5722964763061968</v>
      </c>
      <c r="T52" s="26">
        <f t="shared" si="5"/>
        <v>2.5516403402187122</v>
      </c>
      <c r="U52" s="34">
        <f t="shared" si="6"/>
        <v>0.45565006075334141</v>
      </c>
      <c r="V52" s="13">
        <f t="shared" si="7"/>
        <v>6.57958687727825</v>
      </c>
      <c r="W52" s="123">
        <f t="shared" si="21"/>
        <v>0</v>
      </c>
      <c r="X52" s="4">
        <f t="shared" si="8"/>
        <v>6.57958687727825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1"/>
        <v>10</v>
      </c>
      <c r="N53" s="32">
        <f t="shared" si="2"/>
        <v>15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2940</v>
      </c>
      <c r="P53" s="11">
        <f>E53*E53*INslave+E53*KLslave*F53+KLslave*E53*F53</f>
        <v>1050</v>
      </c>
      <c r="Q53" s="22">
        <f t="shared" si="23"/>
        <v>125</v>
      </c>
      <c r="R53" s="20">
        <f t="shared" si="22"/>
        <v>4115</v>
      </c>
      <c r="S53" s="33">
        <f t="shared" si="4"/>
        <v>3.5722964763061968</v>
      </c>
      <c r="T53" s="26">
        <f t="shared" si="5"/>
        <v>2.5516403402187122</v>
      </c>
      <c r="U53" s="34">
        <f t="shared" si="6"/>
        <v>0.45565006075334141</v>
      </c>
      <c r="V53" s="13">
        <f t="shared" si="7"/>
        <v>6.57958687727825</v>
      </c>
      <c r="W53" s="123">
        <f t="shared" si="21"/>
        <v>0</v>
      </c>
      <c r="X53" s="4">
        <f t="shared" si="8"/>
        <v>6.57958687727825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1"/>
        <v>10</v>
      </c>
      <c r="N54" s="36">
        <f t="shared" si="2"/>
        <v>15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2940</v>
      </c>
      <c r="P54" s="19">
        <f>E54*E54*INslave+E54*KLslave*F54+KLslave*E54*F54</f>
        <v>1050</v>
      </c>
      <c r="Q54" s="23">
        <f t="shared" si="23"/>
        <v>125</v>
      </c>
      <c r="R54" s="24">
        <f>SUM(O54:Q54)</f>
        <v>4115</v>
      </c>
      <c r="S54" s="37">
        <f t="shared" si="4"/>
        <v>3.5722964763061968</v>
      </c>
      <c r="T54" s="25">
        <f t="shared" si="5"/>
        <v>2.5516403402187122</v>
      </c>
      <c r="U54" s="38">
        <f t="shared" si="6"/>
        <v>0.45565006075334141</v>
      </c>
      <c r="V54" s="14">
        <f t="shared" si="7"/>
        <v>6.57958687727825</v>
      </c>
      <c r="W54" s="123">
        <f t="shared" si="21"/>
        <v>0</v>
      </c>
      <c r="X54" s="5">
        <f t="shared" si="8"/>
        <v>6.57958687727825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4</v>
      </c>
      <c r="E56" s="61">
        <f>Konvention_1slave-KLslave</f>
        <v>5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</v>
      </c>
      <c r="M56" s="27">
        <f t="shared" si="1"/>
        <v>10</v>
      </c>
      <c r="N56" s="28">
        <f t="shared" si="2"/>
        <v>15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2963</v>
      </c>
      <c r="P56" s="11">
        <f>D56*E56*FFslave+D56*KLslave*H56+MUslave*E56*H56</f>
        <v>1046</v>
      </c>
      <c r="Q56" s="62">
        <f t="shared" si="3"/>
        <v>120</v>
      </c>
      <c r="R56" s="60">
        <f>SUM(O56:Q56)</f>
        <v>4129</v>
      </c>
      <c r="S56" s="29">
        <f t="shared" si="4"/>
        <v>3.5880358440300313</v>
      </c>
      <c r="T56" s="30">
        <f t="shared" si="5"/>
        <v>2.5333010414143859</v>
      </c>
      <c r="U56" s="31">
        <f t="shared" si="6"/>
        <v>0.43594090578832645</v>
      </c>
      <c r="V56" s="12">
        <f t="shared" si="7"/>
        <v>6.5572777912327442</v>
      </c>
      <c r="W56" s="123">
        <f t="shared" ref="W56:W72" si="26">Istwerte</f>
        <v>0</v>
      </c>
      <c r="X56" s="3">
        <f t="shared" si="8"/>
        <v>6.5572777912327442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19.671833373698234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7</v>
      </c>
      <c r="J57" s="21"/>
      <c r="K57" s="22">
        <f>Konvention_1slave-KKslave</f>
        <v>11</v>
      </c>
      <c r="L57" s="27">
        <f t="shared" si="24"/>
        <v>8</v>
      </c>
      <c r="M57" s="27">
        <f t="shared" si="1"/>
        <v>16</v>
      </c>
      <c r="N57" s="32">
        <f t="shared" si="2"/>
        <v>24</v>
      </c>
      <c r="O57" s="11">
        <f t="shared" si="25"/>
        <v>3020</v>
      </c>
      <c r="P57" s="11">
        <f>H57*I57*KKslave+H57*GEslave*K57+FFslave*I57*K57</f>
        <v>2129</v>
      </c>
      <c r="Q57" s="22">
        <f t="shared" si="3"/>
        <v>462</v>
      </c>
      <c r="R57" s="20">
        <f t="shared" ref="R57:R71" si="27">SUM(O57:Q57)</f>
        <v>5611</v>
      </c>
      <c r="S57" s="33">
        <f t="shared" si="4"/>
        <v>4.3058278381750137</v>
      </c>
      <c r="T57" s="26">
        <f t="shared" si="5"/>
        <v>6.0709320976653007</v>
      </c>
      <c r="U57" s="34">
        <f t="shared" si="6"/>
        <v>1.9761183389770094</v>
      </c>
      <c r="V57" s="13">
        <f t="shared" si="7"/>
        <v>12.352878274817325</v>
      </c>
      <c r="W57" s="123">
        <f t="shared" si="26"/>
        <v>0</v>
      </c>
      <c r="X57" s="4">
        <f t="shared" si="8"/>
        <v>12.352878274817325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25.4115130992693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6</v>
      </c>
      <c r="I58" s="21"/>
      <c r="J58" s="21">
        <f>Konvention_1slave-KOslave</f>
        <v>6</v>
      </c>
      <c r="K58" s="22"/>
      <c r="L58" s="27">
        <f t="shared" si="24"/>
        <v>6.333333333333333</v>
      </c>
      <c r="M58" s="27">
        <f t="shared" si="1"/>
        <v>12.666666666666666</v>
      </c>
      <c r="N58" s="32">
        <f t="shared" si="2"/>
        <v>19</v>
      </c>
      <c r="O58" s="11">
        <f t="shared" si="25"/>
        <v>3055</v>
      </c>
      <c r="P58" s="11">
        <f>G58*H58*KOslave+G58*FFslave*J58+CHslave*H58*J58</f>
        <v>1524</v>
      </c>
      <c r="Q58" s="22">
        <f t="shared" si="3"/>
        <v>252</v>
      </c>
      <c r="R58" s="20">
        <f t="shared" si="27"/>
        <v>4831</v>
      </c>
      <c r="S58" s="33">
        <f t="shared" si="4"/>
        <v>4.0050369143724556</v>
      </c>
      <c r="T58" s="26">
        <f t="shared" si="5"/>
        <v>3.9958600703788036</v>
      </c>
      <c r="U58" s="34">
        <f t="shared" si="6"/>
        <v>0.99109915131442761</v>
      </c>
      <c r="V58" s="13">
        <f t="shared" si="7"/>
        <v>8.991996136065687</v>
      </c>
      <c r="W58" s="123">
        <f t="shared" si="26"/>
        <v>0</v>
      </c>
      <c r="X58" s="4">
        <f t="shared" si="8"/>
        <v>8.991996136065687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8.991996136065687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5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5.666666666666667</v>
      </c>
      <c r="M59" s="27">
        <f t="shared" si="1"/>
        <v>11.333333333333334</v>
      </c>
      <c r="N59" s="32">
        <f t="shared" si="2"/>
        <v>17</v>
      </c>
      <c r="O59" s="11">
        <f t="shared" si="25"/>
        <v>3052</v>
      </c>
      <c r="P59" s="11">
        <f>E59*F59*CHslave+E59*INslave*G59+KLslave*F59*G59</f>
        <v>1280</v>
      </c>
      <c r="Q59" s="22">
        <f t="shared" si="3"/>
        <v>175</v>
      </c>
      <c r="R59" s="20">
        <f t="shared" si="27"/>
        <v>4507</v>
      </c>
      <c r="S59" s="33">
        <f t="shared" si="4"/>
        <v>3.8372901412617413</v>
      </c>
      <c r="T59" s="26">
        <f t="shared" si="5"/>
        <v>3.2186968419495603</v>
      </c>
      <c r="U59" s="34">
        <f t="shared" si="6"/>
        <v>0.66008431329043715</v>
      </c>
      <c r="V59" s="13">
        <f t="shared" si="7"/>
        <v>7.7160712965017391</v>
      </c>
      <c r="W59" s="123">
        <f t="shared" si="26"/>
        <v>0</v>
      </c>
      <c r="X59" s="4">
        <f t="shared" si="8"/>
        <v>7.7160712965017391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15.432142593003478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4</v>
      </c>
      <c r="E60" s="21">
        <f>Konvention_1slave-KLslave</f>
        <v>5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4.666666666666667</v>
      </c>
      <c r="M60" s="27">
        <f t="shared" si="1"/>
        <v>9.3333333333333339</v>
      </c>
      <c r="N60" s="32">
        <f t="shared" si="2"/>
        <v>14</v>
      </c>
      <c r="O60" s="11">
        <f t="shared" si="25"/>
        <v>2884</v>
      </c>
      <c r="P60" s="11">
        <f>D60*E60*INslave+D60*KLslave*F60+MUslave*E60*F60</f>
        <v>935</v>
      </c>
      <c r="Q60" s="22">
        <f t="shared" si="3"/>
        <v>100</v>
      </c>
      <c r="R60" s="20">
        <f t="shared" si="27"/>
        <v>3919</v>
      </c>
      <c r="S60" s="33">
        <f t="shared" si="4"/>
        <v>3.4342094071616911</v>
      </c>
      <c r="T60" s="26">
        <f t="shared" si="5"/>
        <v>2.2267585268350771</v>
      </c>
      <c r="U60" s="34">
        <f t="shared" si="6"/>
        <v>0.35723398826231184</v>
      </c>
      <c r="V60" s="13">
        <f t="shared" si="7"/>
        <v>6.0182019222590801</v>
      </c>
      <c r="W60" s="123">
        <f t="shared" si="26"/>
        <v>0</v>
      </c>
      <c r="X60" s="4">
        <f t="shared" si="8"/>
        <v>6.0182019222590801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12.03640384451816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4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</v>
      </c>
      <c r="M61" s="27">
        <f t="shared" si="1"/>
        <v>10</v>
      </c>
      <c r="N61" s="32">
        <f t="shared" si="2"/>
        <v>15</v>
      </c>
      <c r="O61" s="11">
        <f t="shared" si="25"/>
        <v>2963</v>
      </c>
      <c r="P61" s="11">
        <f>D61*F61*KOslave+D61*INslave*J61+MUslave*F61*J61</f>
        <v>1046</v>
      </c>
      <c r="Q61" s="22">
        <f t="shared" si="3"/>
        <v>120</v>
      </c>
      <c r="R61" s="20">
        <f t="shared" si="27"/>
        <v>4129</v>
      </c>
      <c r="S61" s="33">
        <f t="shared" si="4"/>
        <v>3.5880358440300313</v>
      </c>
      <c r="T61" s="26">
        <f t="shared" si="5"/>
        <v>2.5333010414143859</v>
      </c>
      <c r="U61" s="34">
        <f t="shared" si="6"/>
        <v>0.43594090578832645</v>
      </c>
      <c r="V61" s="13">
        <f t="shared" si="7"/>
        <v>6.5572777912327442</v>
      </c>
      <c r="W61" s="123">
        <f t="shared" si="26"/>
        <v>0</v>
      </c>
      <c r="X61" s="4">
        <f t="shared" si="8"/>
        <v>6.5572777912327442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13.114555582465488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7</v>
      </c>
      <c r="H62" s="21"/>
      <c r="I62" s="21"/>
      <c r="J62" s="21">
        <f>Konvention_1slave-KOslave</f>
        <v>6</v>
      </c>
      <c r="K62" s="22"/>
      <c r="L62" s="27">
        <f t="shared" si="24"/>
        <v>6</v>
      </c>
      <c r="M62" s="27">
        <f t="shared" si="1"/>
        <v>12</v>
      </c>
      <c r="N62" s="32">
        <f t="shared" si="2"/>
        <v>18</v>
      </c>
      <c r="O62" s="11">
        <f t="shared" si="25"/>
        <v>3062</v>
      </c>
      <c r="P62" s="11">
        <f>F62*G62*KOslave+F62*CHslave*J62+INslave*G62*J62</f>
        <v>1403</v>
      </c>
      <c r="Q62" s="22">
        <f t="shared" si="3"/>
        <v>210</v>
      </c>
      <c r="R62" s="20">
        <f t="shared" si="27"/>
        <v>4675</v>
      </c>
      <c r="S62" s="33">
        <f t="shared" si="4"/>
        <v>3.9298395721925132</v>
      </c>
      <c r="T62" s="26">
        <f t="shared" si="5"/>
        <v>3.6012834224598929</v>
      </c>
      <c r="U62" s="34">
        <f t="shared" si="6"/>
        <v>0.80855614973262036</v>
      </c>
      <c r="V62" s="13">
        <f t="shared" si="7"/>
        <v>8.3396791443850269</v>
      </c>
      <c r="W62" s="123">
        <f t="shared" si="26"/>
        <v>0</v>
      </c>
      <c r="X62" s="4">
        <f t="shared" si="8"/>
        <v>8.3396791443850269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16.679358288770054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5.666666666666667</v>
      </c>
      <c r="M63" s="27">
        <f t="shared" si="1"/>
        <v>11.333333333333334</v>
      </c>
      <c r="N63" s="32">
        <f t="shared" si="2"/>
        <v>17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3029</v>
      </c>
      <c r="P63" s="11">
        <f>E63*H63*FFslave+E63*FFslave*H63+KLslave*H63*H63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7"/>
        <v>4493</v>
      </c>
      <c r="S63" s="33">
        <f t="shared" si="4"/>
        <v>3.8202388901253808</v>
      </c>
      <c r="T63" s="26">
        <f t="shared" si="5"/>
        <v>3.2388159359002895</v>
      </c>
      <c r="U63" s="34">
        <f t="shared" si="6"/>
        <v>0.68105942577342538</v>
      </c>
      <c r="V63" s="13">
        <f t="shared" si="7"/>
        <v>7.7401142517990964</v>
      </c>
      <c r="W63" s="123">
        <f t="shared" si="26"/>
        <v>0</v>
      </c>
      <c r="X63" s="4">
        <f t="shared" si="8"/>
        <v>7.7401142517990964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7</v>
      </c>
      <c r="J64" s="21"/>
      <c r="K64" s="22">
        <f>Konvention_1slave-KKslave</f>
        <v>11</v>
      </c>
      <c r="L64" s="27">
        <f>(D64+E64+F64+G64+H64+I64+J64+K64)/3</f>
        <v>8</v>
      </c>
      <c r="M64" s="27">
        <f t="shared" si="1"/>
        <v>16</v>
      </c>
      <c r="N64" s="32">
        <f t="shared" si="2"/>
        <v>24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3020</v>
      </c>
      <c r="P64" s="11">
        <f>H64*I64*KKslave+H64*GEslave*K64+FFslave*I64*K64</f>
        <v>2129</v>
      </c>
      <c r="Q64" s="22">
        <f t="shared" si="3"/>
        <v>462</v>
      </c>
      <c r="R64" s="20">
        <f t="shared" si="27"/>
        <v>5611</v>
      </c>
      <c r="S64" s="33">
        <f t="shared" si="4"/>
        <v>4.3058278381750137</v>
      </c>
      <c r="T64" s="26">
        <f t="shared" si="5"/>
        <v>6.0709320976653007</v>
      </c>
      <c r="U64" s="34">
        <f t="shared" si="6"/>
        <v>1.9761183389770094</v>
      </c>
      <c r="V64" s="13">
        <f t="shared" si="7"/>
        <v>12.352878274817325</v>
      </c>
      <c r="W64" s="123">
        <f t="shared" si="26"/>
        <v>0</v>
      </c>
      <c r="X64" s="4">
        <f t="shared" si="8"/>
        <v>12.352878274817325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25.4115130992693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6</v>
      </c>
      <c r="I65" s="21"/>
      <c r="J65" s="21"/>
      <c r="K65" s="22"/>
      <c r="L65" s="27">
        <f>(F65+H65+H65)/3</f>
        <v>5.666666666666667</v>
      </c>
      <c r="M65" s="27">
        <f t="shared" si="1"/>
        <v>11.333333333333334</v>
      </c>
      <c r="N65" s="32">
        <f t="shared" si="2"/>
        <v>17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3029</v>
      </c>
      <c r="P65" s="11">
        <f>F65*H65*FFslave+F65*FFslave*H65+INslave*H65*H65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7"/>
        <v>4493</v>
      </c>
      <c r="S65" s="33">
        <f t="shared" si="4"/>
        <v>3.8202388901253808</v>
      </c>
      <c r="T65" s="26">
        <f t="shared" si="5"/>
        <v>3.2388159359002895</v>
      </c>
      <c r="U65" s="34">
        <f t="shared" si="6"/>
        <v>0.68105942577342538</v>
      </c>
      <c r="V65" s="13">
        <f t="shared" si="7"/>
        <v>7.7401142517990964</v>
      </c>
      <c r="W65" s="123">
        <f t="shared" si="26"/>
        <v>0</v>
      </c>
      <c r="X65" s="4">
        <f t="shared" si="8"/>
        <v>7.7401142517990964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7</v>
      </c>
      <c r="J66" s="21">
        <f>Konvention_1slave-KOslave</f>
        <v>6</v>
      </c>
      <c r="K66" s="22"/>
      <c r="L66" s="27">
        <f>(D66+E66+F66+G66+H66+I66+J66+K66)/3</f>
        <v>6.333333333333333</v>
      </c>
      <c r="M66" s="27">
        <f t="shared" si="1"/>
        <v>12.666666666666666</v>
      </c>
      <c r="N66" s="32">
        <f t="shared" si="2"/>
        <v>19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3055</v>
      </c>
      <c r="P66" s="11">
        <f>H66*I66*KOslave+H66*GEslave*J66+FFslave*I66*J66</f>
        <v>1524</v>
      </c>
      <c r="Q66" s="22">
        <f t="shared" si="3"/>
        <v>252</v>
      </c>
      <c r="R66" s="20">
        <f t="shared" si="27"/>
        <v>4831</v>
      </c>
      <c r="S66" s="33">
        <f t="shared" si="4"/>
        <v>4.0050369143724556</v>
      </c>
      <c r="T66" s="26">
        <f t="shared" si="5"/>
        <v>3.9958600703788036</v>
      </c>
      <c r="U66" s="34">
        <f t="shared" si="6"/>
        <v>0.99109915131442761</v>
      </c>
      <c r="V66" s="13">
        <f t="shared" si="7"/>
        <v>8.991996136065687</v>
      </c>
      <c r="W66" s="123">
        <f t="shared" si="26"/>
        <v>0</v>
      </c>
      <c r="X66" s="4">
        <f t="shared" si="8"/>
        <v>8.991996136065687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17.983992272131374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6</v>
      </c>
      <c r="I67" s="21"/>
      <c r="J67" s="21"/>
      <c r="K67" s="22"/>
      <c r="L67" s="27">
        <f>(F67+H67+H67)/3</f>
        <v>5.666666666666667</v>
      </c>
      <c r="M67" s="27">
        <f t="shared" si="1"/>
        <v>11.333333333333334</v>
      </c>
      <c r="N67" s="32">
        <f t="shared" si="2"/>
        <v>17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3029</v>
      </c>
      <c r="P67" s="11">
        <f>F67*H67*FFslave+F67*FFslave*H67+INslave*H67*H67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7"/>
        <v>4493</v>
      </c>
      <c r="S67" s="33">
        <f t="shared" si="4"/>
        <v>3.8202388901253808</v>
      </c>
      <c r="T67" s="26">
        <f t="shared" si="5"/>
        <v>3.2388159359002895</v>
      </c>
      <c r="U67" s="34">
        <f t="shared" si="6"/>
        <v>0.68105942577342538</v>
      </c>
      <c r="V67" s="13">
        <f t="shared" si="7"/>
        <v>7.7401142517990964</v>
      </c>
      <c r="W67" s="123">
        <f t="shared" si="26"/>
        <v>0</v>
      </c>
      <c r="X67" s="4">
        <f t="shared" si="8"/>
        <v>7.7401142517990964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6</v>
      </c>
      <c r="K68" s="22">
        <f>Konvention_1slave-KKslave</f>
        <v>11</v>
      </c>
      <c r="L68" s="27">
        <f>(D68+E68+F68+G68+H68+I68+J68+K68)/3</f>
        <v>7.666666666666667</v>
      </c>
      <c r="M68" s="27">
        <f t="shared" si="1"/>
        <v>15.333333333333334</v>
      </c>
      <c r="N68" s="32">
        <f t="shared" si="2"/>
        <v>23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3107</v>
      </c>
      <c r="P68" s="11">
        <f>H68*J68*KKslave+H68*KOslave*K68+FFslave*J68*K68</f>
        <v>2004</v>
      </c>
      <c r="Q68" s="22">
        <f>IFERROR(D68^SIGN(D68),1)*IFERROR(E68^SIGN(E68),1)*IFERROR(F68^SIGN(F68),1)*IFERROR(G68^SIGN(G68),1)*IFERROR(H68^SIGN(H68),1)*IFERROR(I68^SIGN(I68),1)*IFERROR(J68^SIGN(J68),1)*IFERROR(K68^SIGN(K68),1)</f>
        <v>396</v>
      </c>
      <c r="R68" s="20">
        <f t="shared" si="27"/>
        <v>5507</v>
      </c>
      <c r="S68" s="33">
        <f t="shared" si="4"/>
        <v>4.3254645602566439</v>
      </c>
      <c r="T68" s="26">
        <f t="shared" si="5"/>
        <v>5.5798075177047393</v>
      </c>
      <c r="U68" s="34">
        <f t="shared" si="6"/>
        <v>1.6538950426729617</v>
      </c>
      <c r="V68" s="13">
        <f t="shared" si="7"/>
        <v>11.559167120634346</v>
      </c>
      <c r="W68" s="123">
        <f t="shared" si="26"/>
        <v>0</v>
      </c>
      <c r="X68" s="4">
        <f t="shared" si="8"/>
        <v>11.559167120634346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34.67750136190304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6</v>
      </c>
      <c r="I69" s="21"/>
      <c r="J69" s="21">
        <f>Konvention_1slave-KOslave</f>
        <v>6</v>
      </c>
      <c r="K69" s="22"/>
      <c r="L69" s="27">
        <f>(D69+E69+F69+G69+H69+I69+J69+K69)/3</f>
        <v>6.333333333333333</v>
      </c>
      <c r="M69" s="27">
        <f t="shared" si="1"/>
        <v>12.666666666666666</v>
      </c>
      <c r="N69" s="32">
        <f t="shared" si="2"/>
        <v>19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3055</v>
      </c>
      <c r="P69" s="11">
        <f>G69*H69*KOslave+G69*FFslave*J69+CHslave*H69*J69</f>
        <v>1524</v>
      </c>
      <c r="Q69" s="22">
        <f>IFERROR(D69^SIGN(D69),1)*IFERROR(E69^SIGN(E69),1)*IFERROR(F69^SIGN(F69),1)*IFERROR(G69^SIGN(G69),1)*IFERROR(H69^SIGN(H69),1)*IFERROR(I69^SIGN(I69),1)*IFERROR(J69^SIGN(J69),1)*IFERROR(K69^SIGN(K69),1)</f>
        <v>252</v>
      </c>
      <c r="R69" s="20">
        <f t="shared" si="27"/>
        <v>4831</v>
      </c>
      <c r="S69" s="33">
        <f t="shared" si="4"/>
        <v>4.0050369143724556</v>
      </c>
      <c r="T69" s="26">
        <f t="shared" si="5"/>
        <v>3.9958600703788036</v>
      </c>
      <c r="U69" s="34">
        <f t="shared" si="6"/>
        <v>0.99109915131442761</v>
      </c>
      <c r="V69" s="13">
        <f t="shared" si="7"/>
        <v>8.991996136065687</v>
      </c>
      <c r="W69" s="123">
        <f t="shared" si="26"/>
        <v>0</v>
      </c>
      <c r="X69" s="4">
        <f t="shared" si="8"/>
        <v>8.991996136065687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8.991996136065687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6</v>
      </c>
      <c r="I70" s="21"/>
      <c r="J70" s="21"/>
      <c r="K70" s="22"/>
      <c r="L70" s="27">
        <f>(F70+H70+H70)/3</f>
        <v>5.666666666666667</v>
      </c>
      <c r="M70" s="27">
        <f t="shared" si="1"/>
        <v>11.333333333333334</v>
      </c>
      <c r="N70" s="32">
        <f t="shared" si="2"/>
        <v>17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3029</v>
      </c>
      <c r="P70" s="11">
        <f>F70*H70*FFslave+F70*FFslave*H70+INslave*H70*H70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7"/>
        <v>4493</v>
      </c>
      <c r="S70" s="33">
        <f t="shared" si="4"/>
        <v>3.8202388901253808</v>
      </c>
      <c r="T70" s="26">
        <f t="shared" si="5"/>
        <v>3.2388159359002895</v>
      </c>
      <c r="U70" s="34">
        <f t="shared" si="6"/>
        <v>0.68105942577342538</v>
      </c>
      <c r="V70" s="13">
        <f t="shared" si="7"/>
        <v>7.7401142517990964</v>
      </c>
      <c r="W70" s="123">
        <f t="shared" si="26"/>
        <v>0</v>
      </c>
      <c r="X70" s="4">
        <f t="shared" si="8"/>
        <v>7.7401142517990964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11</v>
      </c>
      <c r="L71" s="27">
        <f>(H71+H71+K71)/3</f>
        <v>7.666666666666667</v>
      </c>
      <c r="M71" s="27">
        <f t="shared" si="1"/>
        <v>15.333333333333334</v>
      </c>
      <c r="N71" s="32">
        <f t="shared" si="2"/>
        <v>23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3107</v>
      </c>
      <c r="P71" s="11">
        <f>H71*H71*KKslave+H71*FFslave*K71+FFslave*H71*K71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7"/>
        <v>5507</v>
      </c>
      <c r="S71" s="33">
        <f t="shared" si="4"/>
        <v>4.3254645602566439</v>
      </c>
      <c r="T71" s="26">
        <f t="shared" si="5"/>
        <v>5.5798075177047393</v>
      </c>
      <c r="U71" s="34">
        <f t="shared" si="6"/>
        <v>1.6538950426729617</v>
      </c>
      <c r="V71" s="13">
        <f t="shared" si="7"/>
        <v>11.559167120634346</v>
      </c>
      <c r="W71" s="123">
        <f t="shared" si="26"/>
        <v>0</v>
      </c>
      <c r="X71" s="4">
        <f t="shared" si="8"/>
        <v>11.559167120634346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5.666666666666667</v>
      </c>
      <c r="M72" s="25">
        <f t="shared" si="1"/>
        <v>11.333333333333334</v>
      </c>
      <c r="N72" s="36">
        <f t="shared" si="2"/>
        <v>17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3029</v>
      </c>
      <c r="P72" s="19">
        <f>E72*H72*FFslave+E72*FFslave*H72+KLslave*H72*H72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4"/>
        <v>3.8202388901253808</v>
      </c>
      <c r="T72" s="25">
        <f t="shared" si="5"/>
        <v>3.2388159359002895</v>
      </c>
      <c r="U72" s="38">
        <f t="shared" si="6"/>
        <v>0.68105942577342538</v>
      </c>
      <c r="V72" s="14">
        <f t="shared" si="7"/>
        <v>7.7401142517990964</v>
      </c>
      <c r="W72" s="123">
        <f t="shared" si="26"/>
        <v>0</v>
      </c>
      <c r="X72" s="5">
        <f t="shared" si="8"/>
        <v>7.7401142517990964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3014.8474576271187</v>
      </c>
      <c r="P74" s="30">
        <f>AVERAGE(P10:P72)</f>
        <v>1362.5593220338983</v>
      </c>
      <c r="Q74" s="31">
        <f>AVERAGE(Q10:Q72)</f>
        <v>209.84745762711864</v>
      </c>
      <c r="R74" s="31">
        <f>O74+P74+Q74</f>
        <v>4587.2542372881353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113.375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8.1982482090131406</v>
      </c>
      <c r="W75" s="56">
        <f>W78/COUNT(W10:W72)</f>
        <v>0</v>
      </c>
      <c r="X75" s="56">
        <f>X78/COUNTIF(X10:X72,"&gt;0")</f>
        <v>8.1982482090131406</v>
      </c>
      <c r="Y75" s="74">
        <f>IFERROR(Y78/COUNTIF(Y10:Y72,"&gt;0"),0)</f>
        <v>0</v>
      </c>
      <c r="Z75" s="74">
        <f>Z78/COUNTIF(Z10:Z72,"&gt;0")</f>
        <v>17.289091797541872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72</v>
      </c>
      <c r="E78" s="45">
        <f t="shared" ref="E78:K78" si="29">SUM(E10:E72)</f>
        <v>140</v>
      </c>
      <c r="F78" s="45">
        <f t="shared" si="29"/>
        <v>150</v>
      </c>
      <c r="G78" s="45">
        <f t="shared" si="29"/>
        <v>126</v>
      </c>
      <c r="H78" s="45">
        <f t="shared" si="29"/>
        <v>114</v>
      </c>
      <c r="I78" s="45">
        <f t="shared" si="29"/>
        <v>105</v>
      </c>
      <c r="J78" s="45">
        <f t="shared" si="29"/>
        <v>90</v>
      </c>
      <c r="K78" s="46">
        <f t="shared" si="29"/>
        <v>110</v>
      </c>
      <c r="L78" s="50">
        <f>SUM(L10:L72)</f>
        <v>347.00000000000017</v>
      </c>
      <c r="M78" s="51">
        <f>SUM(M10:M72)</f>
        <v>694.00000000000034</v>
      </c>
      <c r="N78" s="52">
        <f>SUM(N10:N72)</f>
        <v>1041</v>
      </c>
      <c r="O78" s="47">
        <f>O74/O76</f>
        <v>0.43954621047195197</v>
      </c>
      <c r="P78" s="48">
        <f>P74/P76</f>
        <v>0.19865276600581694</v>
      </c>
      <c r="Q78" s="49">
        <f>Q74/Q76</f>
        <v>3.0594468235474362E-2</v>
      </c>
      <c r="R78" s="47">
        <f>O78+P78+Q78</f>
        <v>0.66879344471324331</v>
      </c>
      <c r="S78" s="47">
        <f>L78*O74/R74</f>
        <v>228.05626496408632</v>
      </c>
      <c r="T78" s="48">
        <f>M78*P74/R74</f>
        <v>206.13990866365179</v>
      </c>
      <c r="U78" s="49">
        <f>N78*Q74/R74</f>
        <v>47.621342112263903</v>
      </c>
      <c r="V78" s="53">
        <f>SUMIF(V10:V72,"&gt;0")</f>
        <v>483.6966443317753</v>
      </c>
      <c r="W78" s="66">
        <f>SUM(W10:W72)</f>
        <v>0</v>
      </c>
      <c r="X78" s="53">
        <f>SUMIF(X10:X72,"&gt;0")</f>
        <v>483.6966443317753</v>
      </c>
      <c r="Y78" s="53">
        <f>SUMIF(Y10:Y72,"&gt;0")</f>
        <v>0</v>
      </c>
      <c r="Z78" s="86">
        <f>SUMIF(Z10:Z72,"&gt;0")</f>
        <v>1020.0564160549703</v>
      </c>
    </row>
    <row r="79" spans="1:28" ht="15.75" thickBot="1">
      <c r="D79" s="159" t="s">
        <v>121</v>
      </c>
      <c r="E79" s="177"/>
      <c r="F79" s="177"/>
      <c r="G79" s="177"/>
      <c r="H79" s="177"/>
      <c r="I79" s="177"/>
      <c r="J79" s="177"/>
      <c r="K79" s="178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14" priority="9" operator="lessThanOrEqual">
      <formula>0</formula>
    </cfRule>
  </conditionalFormatting>
  <conditionalFormatting sqref="D78:K78 J75">
    <cfRule type="colorScale" priority="8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1"/>
  <sheetViews>
    <sheetView topLeftCell="A58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KLmaster+1</f>
        <v>15</v>
      </c>
      <c r="F2" s="95">
        <f>INmaster</f>
        <v>14</v>
      </c>
      <c r="G2" s="95">
        <f>CHmaster</f>
        <v>12</v>
      </c>
      <c r="H2" s="95">
        <f>FFmaster</f>
        <v>13</v>
      </c>
      <c r="I2" s="95">
        <f>GEmaster</f>
        <v>12</v>
      </c>
      <c r="J2" s="95">
        <f>KOmaster</f>
        <v>13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570</v>
      </c>
      <c r="M5" s="92">
        <f>W81</f>
        <v>0</v>
      </c>
      <c r="N5" s="93">
        <f>L5+M5</f>
        <v>570</v>
      </c>
      <c r="O5" s="125">
        <v>1100</v>
      </c>
      <c r="P5" s="94">
        <f>O5-N5</f>
        <v>530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5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5.666666666666667</v>
      </c>
      <c r="M10" s="27">
        <f>2*L10</f>
        <v>11.333333333333334</v>
      </c>
      <c r="N10" s="28">
        <f>3*L10</f>
        <v>17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3052</v>
      </c>
      <c r="P10" s="11">
        <f>D10*F10*GEslave+D10*INslave*I10+MUslave*F10*I10</f>
        <v>1280</v>
      </c>
      <c r="Q10" s="62">
        <f>IFERROR(D10^SIGN(D10),1)*IFERROR(E10^SIGN(E10),1)*IFERROR(F10^SIGN(F10),1)*IFERROR(G10^SIGN(G10),1)*IFERROR(H10^SIGN(H10),1)*IFERROR(I10^SIGN(I10),1)*IFERROR(J10^SIGN(J10),1)*IFERROR(K10^SIGN(K10),1)</f>
        <v>175</v>
      </c>
      <c r="R10" s="60">
        <f>SUM(O10:Q10)</f>
        <v>4507</v>
      </c>
      <c r="S10" s="29">
        <f>L10*O10/R10</f>
        <v>3.8372901412617413</v>
      </c>
      <c r="T10" s="30">
        <f>M10*P10/R10</f>
        <v>3.2186968419495603</v>
      </c>
      <c r="U10" s="31">
        <f>N10*Q10/R10</f>
        <v>0.66008431329043715</v>
      </c>
      <c r="V10" s="3">
        <f>SUM(S10:U10)</f>
        <v>7.7160712965017391</v>
      </c>
      <c r="W10" s="129">
        <f t="shared" ref="W10:W23" si="0">Istwerte</f>
        <v>0</v>
      </c>
      <c r="X10" s="3">
        <f>V10-W10</f>
        <v>7.7160712965017391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15.432142593003478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7</v>
      </c>
      <c r="H11" s="21">
        <f>Konvention_1slave-FFslave</f>
        <v>6</v>
      </c>
      <c r="I11" s="21"/>
      <c r="J11" s="21"/>
      <c r="K11" s="22"/>
      <c r="L11" s="27">
        <f>(D11+E11+F11+G11+H11+I11+J11+K11)/3</f>
        <v>6</v>
      </c>
      <c r="M11" s="27">
        <f t="shared" ref="M11:M72" si="1">2*L11</f>
        <v>12</v>
      </c>
      <c r="N11" s="32">
        <f t="shared" ref="N11:N72" si="2">3*L11</f>
        <v>18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3062</v>
      </c>
      <c r="P11" s="11">
        <f>D11*G11*FFslave+D11*CHslave*H11+MUslave*G11*H11</f>
        <v>1403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210</v>
      </c>
      <c r="R11" s="20">
        <f>SUM(O11:Q11)</f>
        <v>4675</v>
      </c>
      <c r="S11" s="33">
        <f t="shared" ref="S11:S72" si="4">L11*O11/R11</f>
        <v>3.9298395721925132</v>
      </c>
      <c r="T11" s="26">
        <f t="shared" ref="T11:T72" si="5">M11*P11/R11</f>
        <v>3.6012834224598929</v>
      </c>
      <c r="U11" s="34">
        <f t="shared" ref="U11:U72" si="6">N11*Q11/R11</f>
        <v>0.80855614973262036</v>
      </c>
      <c r="V11" s="4">
        <f t="shared" ref="V11:V72" si="7">SUM(S11:U11)</f>
        <v>8.3396791443850269</v>
      </c>
      <c r="W11" s="123">
        <f t="shared" si="0"/>
        <v>0</v>
      </c>
      <c r="X11" s="4">
        <f t="shared" ref="X11:X72" si="8">V11-W11</f>
        <v>8.3396791443850269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8.3396791443850269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11</v>
      </c>
      <c r="L12" s="27">
        <f>(D12+E12+F12+G12+H12+I12+J12+K12)/3</f>
        <v>7.666666666666667</v>
      </c>
      <c r="M12" s="27">
        <f t="shared" si="1"/>
        <v>15.333333333333334</v>
      </c>
      <c r="N12" s="32">
        <f t="shared" si="2"/>
        <v>23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3112</v>
      </c>
      <c r="P12" s="11">
        <f>D12*I12*KKslave+D12*GEslave*K12+MUslave*I12*K12</f>
        <v>2018</v>
      </c>
      <c r="Q12" s="22">
        <f t="shared" si="3"/>
        <v>385</v>
      </c>
      <c r="R12" s="20">
        <f t="shared" ref="R12:R22" si="10">SUM(O12:Q12)</f>
        <v>5515</v>
      </c>
      <c r="S12" s="33">
        <f t="shared" si="4"/>
        <v>4.3261408280447267</v>
      </c>
      <c r="T12" s="26">
        <f t="shared" si="5"/>
        <v>5.6106376548806285</v>
      </c>
      <c r="U12" s="34">
        <f t="shared" si="6"/>
        <v>1.6056210335448775</v>
      </c>
      <c r="V12" s="4">
        <f t="shared" si="7"/>
        <v>11.542399516470233</v>
      </c>
      <c r="W12" s="123">
        <f t="shared" si="0"/>
        <v>0</v>
      </c>
      <c r="X12" s="4">
        <f t="shared" si="8"/>
        <v>11.542399516470233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23.084799032940467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6</v>
      </c>
      <c r="K13" s="22"/>
      <c r="L13" s="27">
        <f>(I13+I13+J13)/3</f>
        <v>6.666666666666667</v>
      </c>
      <c r="M13" s="27">
        <f t="shared" si="1"/>
        <v>13.333333333333334</v>
      </c>
      <c r="N13" s="32">
        <f t="shared" si="2"/>
        <v>20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3048</v>
      </c>
      <c r="P13" s="11">
        <f>I13*I13*KOslave+I13*GEslave*J13+GEslave*I13*J13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10"/>
        <v>4987</v>
      </c>
      <c r="S13" s="33">
        <f t="shared" si="4"/>
        <v>4.0745939442550636</v>
      </c>
      <c r="T13" s="26">
        <f t="shared" si="5"/>
        <v>4.3981017311677029</v>
      </c>
      <c r="U13" s="34">
        <f t="shared" si="6"/>
        <v>1.1790655704832564</v>
      </c>
      <c r="V13" s="4">
        <f t="shared" si="7"/>
        <v>9.6517612459060231</v>
      </c>
      <c r="W13" s="123">
        <f t="shared" si="0"/>
        <v>0</v>
      </c>
      <c r="X13" s="4">
        <f t="shared" si="8"/>
        <v>9.6517612459060231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11</v>
      </c>
      <c r="L14" s="27">
        <f>(J14+K14+K14)/3</f>
        <v>9.3333333333333339</v>
      </c>
      <c r="M14" s="27">
        <f t="shared" si="1"/>
        <v>18.666666666666668</v>
      </c>
      <c r="N14" s="32">
        <f t="shared" si="2"/>
        <v>28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2672</v>
      </c>
      <c r="P14" s="11">
        <f>J14*K14*KKslave+J14*KKslave*K14+KOslave*K14*K14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10"/>
        <v>6027</v>
      </c>
      <c r="S14" s="33">
        <f t="shared" si="4"/>
        <v>4.137824235385211</v>
      </c>
      <c r="T14" s="26">
        <f t="shared" si="5"/>
        <v>8.1424699961285327</v>
      </c>
      <c r="U14" s="34">
        <f t="shared" si="6"/>
        <v>3.3728222996515678</v>
      </c>
      <c r="V14" s="4">
        <f t="shared" si="7"/>
        <v>15.65311653116531</v>
      </c>
      <c r="W14" s="123">
        <f t="shared" si="0"/>
        <v>0</v>
      </c>
      <c r="X14" s="4">
        <f t="shared" si="8"/>
        <v>15.65311653116531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7</v>
      </c>
      <c r="J15" s="21"/>
      <c r="K15" s="22">
        <f>Konvention_1slave-KKslave</f>
        <v>11</v>
      </c>
      <c r="L15" s="27">
        <f>(D15+E15+F15+G15+H15+I15+J15+K15)/3</f>
        <v>8.3333333333333339</v>
      </c>
      <c r="M15" s="27">
        <f t="shared" si="1"/>
        <v>16.666666666666668</v>
      </c>
      <c r="N15" s="32">
        <f t="shared" si="2"/>
        <v>25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2928</v>
      </c>
      <c r="P15" s="11">
        <f>G15*I15*KKslave+G15*GEslave*K15+CHslave*I15*K15</f>
        <v>2240</v>
      </c>
      <c r="Q15" s="22">
        <f t="shared" si="3"/>
        <v>539</v>
      </c>
      <c r="R15" s="20">
        <f t="shared" si="10"/>
        <v>5707</v>
      </c>
      <c r="S15" s="33">
        <f t="shared" si="4"/>
        <v>4.2754512002803571</v>
      </c>
      <c r="T15" s="26">
        <f t="shared" si="5"/>
        <v>6.541673967642077</v>
      </c>
      <c r="U15" s="34">
        <f t="shared" si="6"/>
        <v>2.361135447695812</v>
      </c>
      <c r="V15" s="4">
        <f t="shared" si="7"/>
        <v>13.178260615618246</v>
      </c>
      <c r="W15" s="123">
        <f t="shared" si="0"/>
        <v>0</v>
      </c>
      <c r="X15" s="4">
        <f t="shared" si="8"/>
        <v>13.178260615618246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29.069563693709476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6</v>
      </c>
      <c r="K16" s="22">
        <f>Konvention_1slave-KKslave</f>
        <v>11</v>
      </c>
      <c r="L16" s="27">
        <f>(D16+E16+F16+G16+H16+I16+J16+K16)/3</f>
        <v>8</v>
      </c>
      <c r="M16" s="27">
        <f t="shared" si="1"/>
        <v>16</v>
      </c>
      <c r="N16" s="32">
        <f t="shared" si="2"/>
        <v>24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3020</v>
      </c>
      <c r="P16" s="11">
        <f>I16*J16*KKslave+I16*KOslave*K16+GEslave*J16*K16</f>
        <v>2129</v>
      </c>
      <c r="Q16" s="22">
        <f t="shared" si="3"/>
        <v>462</v>
      </c>
      <c r="R16" s="20">
        <f t="shared" si="10"/>
        <v>5611</v>
      </c>
      <c r="S16" s="33">
        <f t="shared" si="4"/>
        <v>4.3058278381750137</v>
      </c>
      <c r="T16" s="26">
        <f t="shared" si="5"/>
        <v>6.0709320976653007</v>
      </c>
      <c r="U16" s="34">
        <f t="shared" si="6"/>
        <v>1.9761183389770094</v>
      </c>
      <c r="V16" s="4">
        <f t="shared" si="7"/>
        <v>12.352878274817325</v>
      </c>
      <c r="W16" s="123">
        <f t="shared" si="0"/>
        <v>0</v>
      </c>
      <c r="X16" s="4">
        <f t="shared" si="8"/>
        <v>12.352878274817325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25.4115130992693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5.333333333333333</v>
      </c>
      <c r="M17" s="27">
        <f t="shared" si="1"/>
        <v>10.666666666666666</v>
      </c>
      <c r="N17" s="32">
        <f t="shared" si="2"/>
        <v>16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2996</v>
      </c>
      <c r="P17" s="11">
        <f>D17*D17*KOslave+D17*MUslave*J17+MUslave*D17*J17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10"/>
        <v>4311</v>
      </c>
      <c r="S17" s="33">
        <f t="shared" si="4"/>
        <v>3.7064872806000153</v>
      </c>
      <c r="T17" s="26">
        <f t="shared" si="5"/>
        <v>2.8825485192917344</v>
      </c>
      <c r="U17" s="34">
        <f t="shared" si="6"/>
        <v>0.55671537926235215</v>
      </c>
      <c r="V17" s="4">
        <f t="shared" si="7"/>
        <v>7.145751179154102</v>
      </c>
      <c r="W17" s="123">
        <f t="shared" si="0"/>
        <v>0</v>
      </c>
      <c r="X17" s="4">
        <f t="shared" si="8"/>
        <v>7.145751179154102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4</v>
      </c>
      <c r="F18" s="21"/>
      <c r="G18" s="21">
        <f>Konvention_1slave-CHslave</f>
        <v>7</v>
      </c>
      <c r="H18" s="21"/>
      <c r="I18" s="21"/>
      <c r="J18" s="21">
        <f>Konvention_1slave-KOslave</f>
        <v>6</v>
      </c>
      <c r="K18" s="22"/>
      <c r="L18" s="27">
        <f>(D18+E18+F18+G18+H18+I18+J18+K18)/3</f>
        <v>5.666666666666667</v>
      </c>
      <c r="M18" s="27">
        <f t="shared" si="1"/>
        <v>11.333333333333334</v>
      </c>
      <c r="N18" s="32">
        <f t="shared" si="2"/>
        <v>17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3069</v>
      </c>
      <c r="P18" s="11">
        <f>E18*G18*KOslave+E18*CHslave*J18+KLslave*G18*J18</f>
        <v>1282</v>
      </c>
      <c r="Q18" s="22">
        <f t="shared" si="3"/>
        <v>168</v>
      </c>
      <c r="R18" s="20">
        <f t="shared" si="10"/>
        <v>4519</v>
      </c>
      <c r="S18" s="33">
        <f t="shared" si="4"/>
        <v>3.8484177915468023</v>
      </c>
      <c r="T18" s="26">
        <f t="shared" si="5"/>
        <v>3.2151655971085051</v>
      </c>
      <c r="U18" s="34">
        <f t="shared" si="6"/>
        <v>0.63199822969683561</v>
      </c>
      <c r="V18" s="4">
        <f t="shared" si="7"/>
        <v>7.6955816183521435</v>
      </c>
      <c r="W18" s="123">
        <f t="shared" si="0"/>
        <v>0</v>
      </c>
      <c r="X18" s="4">
        <f t="shared" si="8"/>
        <v>7.6955816183521435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7.6955816183521435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4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4.666666666666667</v>
      </c>
      <c r="M19" s="27">
        <f t="shared" si="1"/>
        <v>9.3333333333333339</v>
      </c>
      <c r="N19" s="32">
        <f t="shared" si="2"/>
        <v>14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2884</v>
      </c>
      <c r="P19" s="11">
        <f>E19*F19*INslave+E19*INslave*F19+KLslave*F19*F19</f>
        <v>935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100</v>
      </c>
      <c r="R19" s="20">
        <f t="shared" si="10"/>
        <v>3919</v>
      </c>
      <c r="S19" s="33">
        <f t="shared" si="4"/>
        <v>3.4342094071616911</v>
      </c>
      <c r="T19" s="26">
        <f t="shared" si="5"/>
        <v>2.2267585268350771</v>
      </c>
      <c r="U19" s="34">
        <f t="shared" si="6"/>
        <v>0.35723398826231184</v>
      </c>
      <c r="V19" s="4">
        <f t="shared" si="7"/>
        <v>6.0182019222590801</v>
      </c>
      <c r="W19" s="123">
        <f t="shared" si="0"/>
        <v>0</v>
      </c>
      <c r="X19" s="4">
        <f t="shared" si="8"/>
        <v>6.0182019222590801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24.072807689036321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4</v>
      </c>
      <c r="F20" s="21"/>
      <c r="G20" s="21">
        <f>Konvention_1slave-CHslave</f>
        <v>7</v>
      </c>
      <c r="H20" s="21"/>
      <c r="I20" s="21">
        <f>Konvention_1slave-GEslave</f>
        <v>7</v>
      </c>
      <c r="J20" s="21"/>
      <c r="K20" s="22"/>
      <c r="L20" s="27">
        <f>(D20+E20+F20+G20+H20+I20+J20+K20)/3</f>
        <v>6</v>
      </c>
      <c r="M20" s="27">
        <f t="shared" si="1"/>
        <v>12</v>
      </c>
      <c r="N20" s="32">
        <f t="shared" si="2"/>
        <v>18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3096</v>
      </c>
      <c r="P20" s="11">
        <f>E20*G20*GEslave+E20*CHslave*I20+KLslave*G20*I20</f>
        <v>1407</v>
      </c>
      <c r="Q20" s="22">
        <f t="shared" si="3"/>
        <v>196</v>
      </c>
      <c r="R20" s="20">
        <f t="shared" si="10"/>
        <v>4699</v>
      </c>
      <c r="S20" s="33">
        <f t="shared" si="4"/>
        <v>3.9531815279846776</v>
      </c>
      <c r="T20" s="26">
        <f t="shared" si="5"/>
        <v>3.5931049159395618</v>
      </c>
      <c r="U20" s="34">
        <f t="shared" si="6"/>
        <v>0.75079804213662482</v>
      </c>
      <c r="V20" s="4">
        <f t="shared" si="7"/>
        <v>8.2970844860608644</v>
      </c>
      <c r="W20" s="123">
        <f t="shared" si="0"/>
        <v>0</v>
      </c>
      <c r="X20" s="4">
        <f t="shared" si="8"/>
        <v>8.2970844860608644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8.2970844860608644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6</v>
      </c>
      <c r="I21" s="21">
        <f>Konvention_1slave-GEslave</f>
        <v>7</v>
      </c>
      <c r="J21" s="21"/>
      <c r="K21" s="22"/>
      <c r="L21" s="27">
        <f>(D21+E21+F21+G21+H21+I21+J21+K21)/3</f>
        <v>6</v>
      </c>
      <c r="M21" s="27">
        <f t="shared" si="1"/>
        <v>12</v>
      </c>
      <c r="N21" s="32">
        <f t="shared" si="2"/>
        <v>18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3062</v>
      </c>
      <c r="P21" s="11">
        <f>D21*H21*GEslave+D21*FFslave*I21+MUslave*H21*I21</f>
        <v>1403</v>
      </c>
      <c r="Q21" s="22">
        <f t="shared" si="3"/>
        <v>210</v>
      </c>
      <c r="R21" s="20">
        <f t="shared" si="10"/>
        <v>4675</v>
      </c>
      <c r="S21" s="33">
        <f t="shared" si="4"/>
        <v>3.9298395721925132</v>
      </c>
      <c r="T21" s="26">
        <f t="shared" si="5"/>
        <v>3.6012834224598929</v>
      </c>
      <c r="U21" s="34">
        <f t="shared" si="6"/>
        <v>0.80855614973262036</v>
      </c>
      <c r="V21" s="4">
        <f t="shared" si="7"/>
        <v>8.3396791443850269</v>
      </c>
      <c r="W21" s="123">
        <f t="shared" si="0"/>
        <v>0</v>
      </c>
      <c r="X21" s="4">
        <f t="shared" si="8"/>
        <v>8.3396791443850269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16.679358288770054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5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5.666666666666667</v>
      </c>
      <c r="M22" s="27">
        <f t="shared" si="1"/>
        <v>11.333333333333334</v>
      </c>
      <c r="N22" s="32">
        <f t="shared" si="2"/>
        <v>17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3052</v>
      </c>
      <c r="P22" s="11">
        <f>D22*F22*GEslave+D22*INslave*I22+MUslave*F22*I22</f>
        <v>1280</v>
      </c>
      <c r="Q22" s="22">
        <f t="shared" si="3"/>
        <v>175</v>
      </c>
      <c r="R22" s="20">
        <f t="shared" si="10"/>
        <v>4507</v>
      </c>
      <c r="S22" s="33">
        <f t="shared" si="4"/>
        <v>3.8372901412617413</v>
      </c>
      <c r="T22" s="26">
        <f t="shared" si="5"/>
        <v>3.2186968419495603</v>
      </c>
      <c r="U22" s="34">
        <f t="shared" si="6"/>
        <v>0.66008431329043715</v>
      </c>
      <c r="V22" s="4">
        <f t="shared" si="7"/>
        <v>7.7160712965017391</v>
      </c>
      <c r="W22" s="123">
        <f t="shared" si="0"/>
        <v>0</v>
      </c>
      <c r="X22" s="4">
        <f t="shared" si="8"/>
        <v>7.7160712965017391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23.148213889505218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4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11</v>
      </c>
      <c r="L23" s="25">
        <f>(D23+E23+F23+G23+H23+I23+J23+K23)/3</f>
        <v>7</v>
      </c>
      <c r="M23" s="25">
        <f t="shared" si="1"/>
        <v>14</v>
      </c>
      <c r="N23" s="36">
        <f t="shared" si="2"/>
        <v>21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3281</v>
      </c>
      <c r="P23" s="19">
        <f>E23*J23*KKslave+E23*KOslave*K23+KLslave*J23*K23</f>
        <v>1754</v>
      </c>
      <c r="Q23" s="23">
        <f t="shared" si="3"/>
        <v>264</v>
      </c>
      <c r="R23" s="24">
        <f>SUM(O23:Q23)</f>
        <v>5299</v>
      </c>
      <c r="S23" s="37">
        <f t="shared" si="4"/>
        <v>4.3342140026420077</v>
      </c>
      <c r="T23" s="25">
        <f t="shared" si="5"/>
        <v>4.6340819022457067</v>
      </c>
      <c r="U23" s="38">
        <f t="shared" si="6"/>
        <v>1.0462351387054161</v>
      </c>
      <c r="V23" s="5">
        <f t="shared" si="7"/>
        <v>10.014531043593131</v>
      </c>
      <c r="W23" s="123">
        <f t="shared" si="0"/>
        <v>0</v>
      </c>
      <c r="X23" s="5">
        <f t="shared" si="8"/>
        <v>10.014531043593131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10.014531043593131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4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5.333333333333333</v>
      </c>
      <c r="M25" s="27">
        <f t="shared" si="1"/>
        <v>10.666666666666666</v>
      </c>
      <c r="N25" s="28">
        <f t="shared" si="2"/>
        <v>16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3042</v>
      </c>
      <c r="P25" s="11">
        <f>D25*E25*CHslave+D25*KLslave*G25+MUslave*E25*G25</f>
        <v>1157</v>
      </c>
      <c r="Q25" s="62">
        <f t="shared" si="3"/>
        <v>140</v>
      </c>
      <c r="R25" s="60">
        <f>SUM(O25:Q25)</f>
        <v>4339</v>
      </c>
      <c r="S25" s="29">
        <f t="shared" si="4"/>
        <v>3.739110394100023</v>
      </c>
      <c r="T25" s="30">
        <f t="shared" si="5"/>
        <v>2.8442805561957436</v>
      </c>
      <c r="U25" s="31">
        <f t="shared" si="6"/>
        <v>0.51624798340631484</v>
      </c>
      <c r="V25" s="12">
        <f t="shared" si="7"/>
        <v>7.0996389337020815</v>
      </c>
      <c r="W25" s="123">
        <f t="shared" ref="W25:W33" si="12">Istwerte</f>
        <v>0</v>
      </c>
      <c r="X25" s="3">
        <f t="shared" si="8"/>
        <v>7.0996389337020815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14.199277867404163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1"/>
        <v>12.666666666666666</v>
      </c>
      <c r="N26" s="32">
        <f t="shared" si="2"/>
        <v>19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3072</v>
      </c>
      <c r="P26" s="11">
        <f>D26*G26*CHslave+D26*CHslave*G26+MUslave*G26*G26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3">SUM(O26:Q26)</f>
        <v>4843</v>
      </c>
      <c r="S26" s="33">
        <f t="shared" si="4"/>
        <v>4.0173446211026222</v>
      </c>
      <c r="T26" s="26">
        <f t="shared" si="5"/>
        <v>3.9911900337256521</v>
      </c>
      <c r="U26" s="34">
        <f t="shared" si="6"/>
        <v>0.96118108610365471</v>
      </c>
      <c r="V26" s="13">
        <f t="shared" si="7"/>
        <v>8.9697157409319281</v>
      </c>
      <c r="W26" s="123">
        <f t="shared" si="12"/>
        <v>0</v>
      </c>
      <c r="X26" s="4">
        <f t="shared" si="8"/>
        <v>8.9697157409319281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5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5.666666666666667</v>
      </c>
      <c r="M27" s="27">
        <f t="shared" si="1"/>
        <v>11.333333333333334</v>
      </c>
      <c r="N27" s="32">
        <f t="shared" si="2"/>
        <v>17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3052</v>
      </c>
      <c r="P27" s="11">
        <f>D27*F27*CHslave+D27*INslave*G27+MUslave*F27*G27</f>
        <v>1280</v>
      </c>
      <c r="Q27" s="22">
        <f t="shared" si="3"/>
        <v>175</v>
      </c>
      <c r="R27" s="20">
        <f t="shared" si="13"/>
        <v>4507</v>
      </c>
      <c r="S27" s="33">
        <f t="shared" si="4"/>
        <v>3.8372901412617413</v>
      </c>
      <c r="T27" s="26">
        <f t="shared" si="5"/>
        <v>3.2186968419495603</v>
      </c>
      <c r="U27" s="34">
        <f t="shared" si="6"/>
        <v>0.66008431329043715</v>
      </c>
      <c r="V27" s="13">
        <f t="shared" si="7"/>
        <v>7.7160712965017391</v>
      </c>
      <c r="W27" s="123">
        <f t="shared" si="12"/>
        <v>0</v>
      </c>
      <c r="X27" s="4">
        <f t="shared" si="8"/>
        <v>7.7160712965017391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15.432142593003478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4</v>
      </c>
      <c r="F28" s="21">
        <f t="shared" si="14"/>
        <v>5</v>
      </c>
      <c r="G28" s="21">
        <f t="shared" si="11"/>
        <v>7</v>
      </c>
      <c r="H28" s="21"/>
      <c r="I28" s="21"/>
      <c r="J28" s="21"/>
      <c r="K28" s="22"/>
      <c r="L28" s="27">
        <f t="shared" si="15"/>
        <v>5.333333333333333</v>
      </c>
      <c r="M28" s="27">
        <f t="shared" si="1"/>
        <v>10.666666666666666</v>
      </c>
      <c r="N28" s="32">
        <f t="shared" si="2"/>
        <v>16</v>
      </c>
      <c r="O28" s="11">
        <f t="shared" si="16"/>
        <v>3042</v>
      </c>
      <c r="P28" s="11">
        <f>E28*F28*CHslave+E28*INslave*G28+KLslave*F28*G28</f>
        <v>1157</v>
      </c>
      <c r="Q28" s="22">
        <f t="shared" si="3"/>
        <v>140</v>
      </c>
      <c r="R28" s="20">
        <f t="shared" si="13"/>
        <v>4339</v>
      </c>
      <c r="S28" s="33">
        <f t="shared" si="4"/>
        <v>3.739110394100023</v>
      </c>
      <c r="T28" s="26">
        <f t="shared" si="5"/>
        <v>2.8442805561957436</v>
      </c>
      <c r="U28" s="34">
        <f t="shared" si="6"/>
        <v>0.51624798340631484</v>
      </c>
      <c r="V28" s="13">
        <f t="shared" si="7"/>
        <v>7.0996389337020815</v>
      </c>
      <c r="W28" s="123">
        <f t="shared" si="12"/>
        <v>0</v>
      </c>
      <c r="X28" s="4">
        <f t="shared" si="8"/>
        <v>7.0996389337020815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14.199277867404163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4</v>
      </c>
      <c r="F29" s="21">
        <f t="shared" si="14"/>
        <v>5</v>
      </c>
      <c r="G29" s="21">
        <f t="shared" si="11"/>
        <v>7</v>
      </c>
      <c r="H29" s="21"/>
      <c r="I29" s="21"/>
      <c r="J29" s="21"/>
      <c r="K29" s="22"/>
      <c r="L29" s="27">
        <f t="shared" si="15"/>
        <v>5.333333333333333</v>
      </c>
      <c r="M29" s="27">
        <f t="shared" si="1"/>
        <v>10.666666666666666</v>
      </c>
      <c r="N29" s="32">
        <f t="shared" si="2"/>
        <v>16</v>
      </c>
      <c r="O29" s="11">
        <f t="shared" si="16"/>
        <v>3042</v>
      </c>
      <c r="P29" s="11">
        <f>E29*F29*CHslave+E29*INslave*G29+KLslave*F29*G29</f>
        <v>1157</v>
      </c>
      <c r="Q29" s="22">
        <f t="shared" si="3"/>
        <v>140</v>
      </c>
      <c r="R29" s="20">
        <f t="shared" si="13"/>
        <v>4339</v>
      </c>
      <c r="S29" s="33">
        <f t="shared" si="4"/>
        <v>3.739110394100023</v>
      </c>
      <c r="T29" s="26">
        <f t="shared" si="5"/>
        <v>2.8442805561957436</v>
      </c>
      <c r="U29" s="34">
        <f t="shared" si="6"/>
        <v>0.51624798340631484</v>
      </c>
      <c r="V29" s="13">
        <f t="shared" si="7"/>
        <v>7.0996389337020815</v>
      </c>
      <c r="W29" s="123">
        <f t="shared" si="12"/>
        <v>0</v>
      </c>
      <c r="X29" s="4">
        <f t="shared" si="8"/>
        <v>7.0996389337020815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21.298916801106245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4</v>
      </c>
      <c r="F30" s="21">
        <f t="shared" si="14"/>
        <v>5</v>
      </c>
      <c r="G30" s="21">
        <f t="shared" si="11"/>
        <v>7</v>
      </c>
      <c r="H30" s="21"/>
      <c r="I30" s="21"/>
      <c r="J30" s="21"/>
      <c r="K30" s="22"/>
      <c r="L30" s="27">
        <f t="shared" si="15"/>
        <v>5.333333333333333</v>
      </c>
      <c r="M30" s="27">
        <f t="shared" si="1"/>
        <v>10.666666666666666</v>
      </c>
      <c r="N30" s="32">
        <f t="shared" si="2"/>
        <v>16</v>
      </c>
      <c r="O30" s="11">
        <f t="shared" si="16"/>
        <v>3042</v>
      </c>
      <c r="P30" s="11">
        <f>E30*F30*CHslave+E30*INslave*G30+KLslave*F30*G30</f>
        <v>1157</v>
      </c>
      <c r="Q30" s="22">
        <f t="shared" si="3"/>
        <v>140</v>
      </c>
      <c r="R30" s="20">
        <f t="shared" si="13"/>
        <v>4339</v>
      </c>
      <c r="S30" s="33">
        <f t="shared" si="4"/>
        <v>3.739110394100023</v>
      </c>
      <c r="T30" s="26">
        <f t="shared" si="5"/>
        <v>2.8442805561957436</v>
      </c>
      <c r="U30" s="34">
        <f t="shared" si="6"/>
        <v>0.51624798340631484</v>
      </c>
      <c r="V30" s="13">
        <f t="shared" si="7"/>
        <v>7.0996389337020815</v>
      </c>
      <c r="W30" s="123">
        <f t="shared" si="12"/>
        <v>0</v>
      </c>
      <c r="X30" s="4">
        <f t="shared" si="8"/>
        <v>7.0996389337020815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21.298916801106245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5</v>
      </c>
      <c r="G31" s="21">
        <f t="shared" si="11"/>
        <v>7</v>
      </c>
      <c r="H31" s="21"/>
      <c r="I31" s="21"/>
      <c r="J31" s="21"/>
      <c r="K31" s="22"/>
      <c r="L31" s="27">
        <f t="shared" si="15"/>
        <v>5.666666666666667</v>
      </c>
      <c r="M31" s="27">
        <f t="shared" si="1"/>
        <v>11.333333333333334</v>
      </c>
      <c r="N31" s="32">
        <f t="shared" si="2"/>
        <v>17</v>
      </c>
      <c r="O31" s="11">
        <f t="shared" si="16"/>
        <v>3052</v>
      </c>
      <c r="P31" s="11">
        <f>D31*F31*CHslave+D31*INslave*G31+MUslave*F31*G31</f>
        <v>1280</v>
      </c>
      <c r="Q31" s="22">
        <f t="shared" si="3"/>
        <v>175</v>
      </c>
      <c r="R31" s="20">
        <f t="shared" si="13"/>
        <v>4507</v>
      </c>
      <c r="S31" s="33">
        <f t="shared" si="4"/>
        <v>3.8372901412617413</v>
      </c>
      <c r="T31" s="26">
        <f t="shared" si="5"/>
        <v>3.2186968419495603</v>
      </c>
      <c r="U31" s="34">
        <f t="shared" si="6"/>
        <v>0.66008431329043715</v>
      </c>
      <c r="V31" s="13">
        <f t="shared" si="7"/>
        <v>7.7160712965017391</v>
      </c>
      <c r="W31" s="123">
        <f t="shared" si="12"/>
        <v>0</v>
      </c>
      <c r="X31" s="4">
        <f t="shared" si="8"/>
        <v>7.7160712965017391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23.148213889505218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7</v>
      </c>
      <c r="H32" s="21"/>
      <c r="I32" s="21">
        <f>Konvention_1slave-GEslave</f>
        <v>7</v>
      </c>
      <c r="J32" s="21"/>
      <c r="K32" s="22"/>
      <c r="L32" s="27">
        <f t="shared" si="15"/>
        <v>6.333333333333333</v>
      </c>
      <c r="M32" s="27">
        <f t="shared" si="1"/>
        <v>12.666666666666666</v>
      </c>
      <c r="N32" s="32">
        <f t="shared" si="2"/>
        <v>19</v>
      </c>
      <c r="O32" s="11">
        <f t="shared" si="16"/>
        <v>3072</v>
      </c>
      <c r="P32" s="11">
        <f>F32*G32*GEslave+F32*CHslave*I32+INslave*G32*I32</f>
        <v>1526</v>
      </c>
      <c r="Q32" s="22">
        <f t="shared" si="3"/>
        <v>245</v>
      </c>
      <c r="R32" s="20">
        <f t="shared" si="13"/>
        <v>4843</v>
      </c>
      <c r="S32" s="33">
        <f t="shared" si="4"/>
        <v>4.0173446211026222</v>
      </c>
      <c r="T32" s="26">
        <f t="shared" si="5"/>
        <v>3.9911900337256521</v>
      </c>
      <c r="U32" s="34">
        <f t="shared" si="6"/>
        <v>0.96118108610365471</v>
      </c>
      <c r="V32" s="13">
        <f t="shared" si="7"/>
        <v>8.9697157409319281</v>
      </c>
      <c r="W32" s="123">
        <f t="shared" si="12"/>
        <v>0</v>
      </c>
      <c r="X32" s="4">
        <f t="shared" si="8"/>
        <v>8.9697157409319281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17.939431481863856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5</v>
      </c>
      <c r="G33" s="19">
        <f t="shared" si="11"/>
        <v>7</v>
      </c>
      <c r="H33" s="19"/>
      <c r="I33" s="19"/>
      <c r="J33" s="19"/>
      <c r="K33" s="23"/>
      <c r="L33" s="37">
        <f t="shared" si="15"/>
        <v>5.666666666666667</v>
      </c>
      <c r="M33" s="25">
        <f t="shared" si="1"/>
        <v>11.333333333333334</v>
      </c>
      <c r="N33" s="36">
        <f t="shared" si="2"/>
        <v>17</v>
      </c>
      <c r="O33" s="19">
        <f t="shared" si="16"/>
        <v>3052</v>
      </c>
      <c r="P33" s="19">
        <f>D33*F33*CHslave+D33*INslave*G33+MUslave*F33*G33</f>
        <v>1280</v>
      </c>
      <c r="Q33" s="23">
        <f t="shared" si="3"/>
        <v>175</v>
      </c>
      <c r="R33" s="24">
        <f>SUM(O33:Q33)</f>
        <v>4507</v>
      </c>
      <c r="S33" s="37">
        <f t="shared" si="4"/>
        <v>3.8372901412617413</v>
      </c>
      <c r="T33" s="25">
        <f t="shared" si="5"/>
        <v>3.2186968419495603</v>
      </c>
      <c r="U33" s="38">
        <f t="shared" si="6"/>
        <v>0.66008431329043715</v>
      </c>
      <c r="V33" s="14">
        <f t="shared" si="7"/>
        <v>7.7160712965017391</v>
      </c>
      <c r="W33" s="123">
        <f t="shared" si="12"/>
        <v>0</v>
      </c>
      <c r="X33" s="5">
        <f t="shared" si="8"/>
        <v>7.7160712965017391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30.864285186006956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5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5.666666666666667</v>
      </c>
      <c r="M35" s="27">
        <f t="shared" si="1"/>
        <v>11.333333333333334</v>
      </c>
      <c r="N35" s="28">
        <f t="shared" si="2"/>
        <v>17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3052</v>
      </c>
      <c r="P35" s="11">
        <f>D35*F35*GEslave+D35*INslave*I35+MUslave*F35*I35</f>
        <v>1280</v>
      </c>
      <c r="Q35" s="62">
        <f t="shared" si="3"/>
        <v>175</v>
      </c>
      <c r="R35" s="60">
        <f t="shared" ref="R35:R41" si="17">SUM(O35:Q35)</f>
        <v>4507</v>
      </c>
      <c r="S35" s="29">
        <f t="shared" si="4"/>
        <v>3.8372901412617413</v>
      </c>
      <c r="T35" s="30">
        <f t="shared" si="5"/>
        <v>3.2186968419495603</v>
      </c>
      <c r="U35" s="31">
        <f t="shared" si="6"/>
        <v>0.66008431329043715</v>
      </c>
      <c r="V35" s="12">
        <f t="shared" si="7"/>
        <v>7.7160712965017391</v>
      </c>
      <c r="W35" s="123">
        <f t="shared" ref="W35:W41" si="18">Istwerte</f>
        <v>0</v>
      </c>
      <c r="X35" s="3">
        <f t="shared" si="8"/>
        <v>7.7160712965017391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23.148213889505218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4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11</v>
      </c>
      <c r="L36" s="27">
        <f>(D36+E36+F36+G36+H36+I36+J36+K36)/3</f>
        <v>7</v>
      </c>
      <c r="M36" s="27">
        <f t="shared" si="1"/>
        <v>14</v>
      </c>
      <c r="N36" s="32">
        <f t="shared" si="2"/>
        <v>21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3281</v>
      </c>
      <c r="P36" s="11">
        <f>E36*H36*KKslave+E36*FFslave*K36+KLslave*H36*K36</f>
        <v>1754</v>
      </c>
      <c r="Q36" s="22">
        <f t="shared" si="3"/>
        <v>264</v>
      </c>
      <c r="R36" s="20">
        <f t="shared" si="17"/>
        <v>5299</v>
      </c>
      <c r="S36" s="33">
        <f t="shared" si="4"/>
        <v>4.3342140026420077</v>
      </c>
      <c r="T36" s="26">
        <f t="shared" si="5"/>
        <v>4.6340819022457067</v>
      </c>
      <c r="U36" s="34">
        <f t="shared" si="6"/>
        <v>1.0462351387054161</v>
      </c>
      <c r="V36" s="13">
        <f t="shared" si="7"/>
        <v>10.014531043593131</v>
      </c>
      <c r="W36" s="123">
        <f t="shared" si="18"/>
        <v>0</v>
      </c>
      <c r="X36" s="4">
        <f t="shared" si="8"/>
        <v>10.014531043593131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10.014531043593131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7</v>
      </c>
      <c r="J37" s="21">
        <f>Konvention_1slave-KOslave</f>
        <v>6</v>
      </c>
      <c r="K37" s="22"/>
      <c r="L37" s="27">
        <f>(D37+E37+F37+G37+H37+I37+J37+K37)/3</f>
        <v>6.333333333333333</v>
      </c>
      <c r="M37" s="27">
        <f t="shared" si="1"/>
        <v>12.666666666666666</v>
      </c>
      <c r="N37" s="32">
        <f t="shared" si="2"/>
        <v>19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3055</v>
      </c>
      <c r="P37" s="11">
        <f>H37*I37*KOslave+H37*GEslave*J37+FFslave*I37*J37</f>
        <v>1524</v>
      </c>
      <c r="Q37" s="22">
        <f t="shared" si="3"/>
        <v>252</v>
      </c>
      <c r="R37" s="20">
        <f t="shared" si="17"/>
        <v>4831</v>
      </c>
      <c r="S37" s="33">
        <f t="shared" si="4"/>
        <v>4.0050369143724556</v>
      </c>
      <c r="T37" s="26">
        <f t="shared" si="5"/>
        <v>3.9958600703788036</v>
      </c>
      <c r="U37" s="34">
        <f t="shared" si="6"/>
        <v>0.99109915131442761</v>
      </c>
      <c r="V37" s="13">
        <f t="shared" si="7"/>
        <v>8.991996136065687</v>
      </c>
      <c r="W37" s="123">
        <f t="shared" si="18"/>
        <v>0</v>
      </c>
      <c r="X37" s="4">
        <f t="shared" si="8"/>
        <v>8.991996136065687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8.991996136065687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4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4.666666666666667</v>
      </c>
      <c r="M38" s="27">
        <f t="shared" si="1"/>
        <v>9.3333333333333339</v>
      </c>
      <c r="N38" s="32">
        <f t="shared" si="2"/>
        <v>14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2884</v>
      </c>
      <c r="P38" s="11">
        <f>E38*F38*INslave+E38*INslave*F38+KLslave*F38*F38</f>
        <v>935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100</v>
      </c>
      <c r="R38" s="20">
        <f t="shared" si="17"/>
        <v>3919</v>
      </c>
      <c r="S38" s="33">
        <f t="shared" si="4"/>
        <v>3.4342094071616911</v>
      </c>
      <c r="T38" s="26">
        <f t="shared" si="5"/>
        <v>2.2267585268350771</v>
      </c>
      <c r="U38" s="34">
        <f t="shared" si="6"/>
        <v>0.35723398826231184</v>
      </c>
      <c r="V38" s="13">
        <f t="shared" si="7"/>
        <v>6.0182019222590801</v>
      </c>
      <c r="W38" s="123">
        <f t="shared" si="18"/>
        <v>0</v>
      </c>
      <c r="X38" s="4">
        <f t="shared" si="8"/>
        <v>6.0182019222590801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12.03640384451816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4</v>
      </c>
      <c r="F39" s="21"/>
      <c r="G39" s="21"/>
      <c r="H39" s="21">
        <f>Konvention_1slave-FFslave</f>
        <v>6</v>
      </c>
      <c r="I39" s="21"/>
      <c r="J39" s="21">
        <f>Konvention_1slave-KOslave</f>
        <v>6</v>
      </c>
      <c r="K39" s="22"/>
      <c r="L39" s="27">
        <f>(D39+E39+F39+G39+H39+I39+J39+K39)/3</f>
        <v>5.333333333333333</v>
      </c>
      <c r="M39" s="27">
        <f t="shared" si="1"/>
        <v>10.666666666666666</v>
      </c>
      <c r="N39" s="32">
        <f t="shared" si="2"/>
        <v>16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3016</v>
      </c>
      <c r="P39" s="11">
        <f>E39*H39*KOslave+E39*FFslave*J39+KLslave*H39*J39</f>
        <v>1164</v>
      </c>
      <c r="Q39" s="22">
        <f>IFERROR(D39^SIGN(D39),1)*IFERROR(E39^SIGN(E39),1)*IFERROR(F39^SIGN(F39),1)*IFERROR(G39^SIGN(G39),1)*IFERROR(H39^SIGN(H39),1)*IFERROR(I39^SIGN(I39),1)*IFERROR(J39^SIGN(J39),1)*IFERROR(K39^SIGN(K39),1)</f>
        <v>144</v>
      </c>
      <c r="R39" s="20">
        <f t="shared" si="17"/>
        <v>4324</v>
      </c>
      <c r="S39" s="33">
        <f t="shared" si="4"/>
        <v>3.7200123342584024</v>
      </c>
      <c r="T39" s="26">
        <f t="shared" si="5"/>
        <v>2.8714153561517115</v>
      </c>
      <c r="U39" s="34">
        <f t="shared" si="6"/>
        <v>0.5328399629972248</v>
      </c>
      <c r="V39" s="13">
        <f t="shared" si="7"/>
        <v>7.1242676534073395</v>
      </c>
      <c r="W39" s="123">
        <f t="shared" si="18"/>
        <v>0</v>
      </c>
      <c r="X39" s="4">
        <f t="shared" si="8"/>
        <v>7.1242676534073395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21.372802960222018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1"/>
        <v>11.333333333333334</v>
      </c>
      <c r="N40" s="32">
        <f t="shared" si="2"/>
        <v>17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3052</v>
      </c>
      <c r="P40" s="11">
        <f>D40*D40*CHslave+D40*MUslave*G40+MUslave*D40*G40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7"/>
        <v>4507</v>
      </c>
      <c r="S40" s="33">
        <f t="shared" si="4"/>
        <v>3.8372901412617413</v>
      </c>
      <c r="T40" s="26">
        <f t="shared" si="5"/>
        <v>3.2186968419495603</v>
      </c>
      <c r="U40" s="34">
        <f t="shared" si="6"/>
        <v>0.66008431329043715</v>
      </c>
      <c r="V40" s="13">
        <f t="shared" si="7"/>
        <v>7.7160712965017391</v>
      </c>
      <c r="W40" s="123">
        <f t="shared" si="18"/>
        <v>0</v>
      </c>
      <c r="X40" s="4">
        <f t="shared" si="8"/>
        <v>7.7160712965017391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6</v>
      </c>
      <c r="K41" s="23"/>
      <c r="L41" s="37">
        <f>(D41+E41+F41+G41+H41+I41+J41+K41)/3</f>
        <v>6</v>
      </c>
      <c r="M41" s="25">
        <f t="shared" si="1"/>
        <v>12</v>
      </c>
      <c r="N41" s="36">
        <f t="shared" si="2"/>
        <v>18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3062</v>
      </c>
      <c r="P41" s="19">
        <f>D41*I41*KOslave+D41*GEslave*J41+MUslave*I41*J41</f>
        <v>1403</v>
      </c>
      <c r="Q41" s="23">
        <f t="shared" si="3"/>
        <v>210</v>
      </c>
      <c r="R41" s="24">
        <f t="shared" si="17"/>
        <v>4675</v>
      </c>
      <c r="S41" s="37">
        <f t="shared" si="4"/>
        <v>3.9298395721925132</v>
      </c>
      <c r="T41" s="25">
        <f t="shared" si="5"/>
        <v>3.6012834224598929</v>
      </c>
      <c r="U41" s="38">
        <f t="shared" si="6"/>
        <v>0.80855614973262036</v>
      </c>
      <c r="V41" s="14">
        <f t="shared" si="7"/>
        <v>8.3396791443850269</v>
      </c>
      <c r="W41" s="123">
        <f t="shared" si="18"/>
        <v>0</v>
      </c>
      <c r="X41" s="5">
        <f t="shared" si="8"/>
        <v>8.3396791443850269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25.019037433155081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4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4.333333333333333</v>
      </c>
      <c r="M43" s="27">
        <f t="shared" si="1"/>
        <v>8.6666666666666661</v>
      </c>
      <c r="N43" s="28">
        <f t="shared" si="2"/>
        <v>13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2805</v>
      </c>
      <c r="P43" s="11">
        <f>E43*E43*INslave+E43*KLslave*F43+KLslave*E43*F43</f>
        <v>824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80</v>
      </c>
      <c r="R43" s="60">
        <f>SUM(O43:Q43)</f>
        <v>3709</v>
      </c>
      <c r="S43" s="29">
        <f t="shared" si="4"/>
        <v>3.2771636559719601</v>
      </c>
      <c r="T43" s="30">
        <f t="shared" si="5"/>
        <v>1.9254066684640962</v>
      </c>
      <c r="U43" s="31">
        <f t="shared" si="6"/>
        <v>0.28039902938797517</v>
      </c>
      <c r="V43" s="12">
        <f t="shared" si="7"/>
        <v>5.4829693538240312</v>
      </c>
      <c r="W43" s="123">
        <f t="shared" ref="W43:W54" si="21">Istwerte</f>
        <v>0</v>
      </c>
      <c r="X43" s="3">
        <f t="shared" si="8"/>
        <v>5.4829693538240312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5.4829693538240312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4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4.333333333333333</v>
      </c>
      <c r="M44" s="27">
        <f t="shared" si="1"/>
        <v>8.6666666666666661</v>
      </c>
      <c r="N44" s="32">
        <f t="shared" si="2"/>
        <v>13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2805</v>
      </c>
      <c r="P44" s="11">
        <f>E44*E44*INslave+E44*KLslave*F44+KLslave*E44*F44</f>
        <v>824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80</v>
      </c>
      <c r="R44" s="20">
        <f t="shared" ref="R44:R53" si="22">SUM(O44:Q44)</f>
        <v>3709</v>
      </c>
      <c r="S44" s="33">
        <f t="shared" si="4"/>
        <v>3.2771636559719601</v>
      </c>
      <c r="T44" s="26">
        <f t="shared" si="5"/>
        <v>1.9254066684640962</v>
      </c>
      <c r="U44" s="34">
        <f t="shared" si="6"/>
        <v>0.28039902938797517</v>
      </c>
      <c r="V44" s="13">
        <f t="shared" si="7"/>
        <v>5.4829693538240312</v>
      </c>
      <c r="W44" s="123">
        <f t="shared" si="21"/>
        <v>0</v>
      </c>
      <c r="X44" s="4">
        <f t="shared" si="8"/>
        <v>5.4829693538240312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10.965938707648062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4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4.333333333333333</v>
      </c>
      <c r="M45" s="27">
        <f t="shared" si="1"/>
        <v>8.6666666666666661</v>
      </c>
      <c r="N45" s="32">
        <f t="shared" si="2"/>
        <v>13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2805</v>
      </c>
      <c r="P45" s="11">
        <f>E45*E45*INslave+E45*KLslave*F45+KLslave*E45*F45</f>
        <v>824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80</v>
      </c>
      <c r="R45" s="20">
        <f t="shared" si="22"/>
        <v>3709</v>
      </c>
      <c r="S45" s="33">
        <f t="shared" si="4"/>
        <v>3.2771636559719601</v>
      </c>
      <c r="T45" s="26">
        <f t="shared" si="5"/>
        <v>1.9254066684640962</v>
      </c>
      <c r="U45" s="34">
        <f t="shared" si="6"/>
        <v>0.28039902938797517</v>
      </c>
      <c r="V45" s="13">
        <f t="shared" si="7"/>
        <v>5.4829693538240312</v>
      </c>
      <c r="W45" s="123">
        <f t="shared" si="21"/>
        <v>0</v>
      </c>
      <c r="X45" s="4">
        <f t="shared" si="8"/>
        <v>5.4829693538240312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10.965938707648062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4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4.333333333333333</v>
      </c>
      <c r="M46" s="27">
        <f t="shared" si="1"/>
        <v>8.6666666666666661</v>
      </c>
      <c r="N46" s="32">
        <f t="shared" si="2"/>
        <v>13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2805</v>
      </c>
      <c r="P46" s="11">
        <f>E46*E46*INslave+E46*KLslave*F46+KLslave*E46*F46</f>
        <v>824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80</v>
      </c>
      <c r="R46" s="20">
        <f t="shared" si="22"/>
        <v>3709</v>
      </c>
      <c r="S46" s="33">
        <f t="shared" si="4"/>
        <v>3.2771636559719601</v>
      </c>
      <c r="T46" s="26">
        <f t="shared" si="5"/>
        <v>1.9254066684640962</v>
      </c>
      <c r="U46" s="34">
        <f t="shared" si="6"/>
        <v>0.28039902938797517</v>
      </c>
      <c r="V46" s="13">
        <f t="shared" si="7"/>
        <v>5.4829693538240312</v>
      </c>
      <c r="W46" s="123">
        <f t="shared" si="21"/>
        <v>0</v>
      </c>
      <c r="X46" s="4">
        <f t="shared" si="8"/>
        <v>5.4829693538240312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10.965938707648062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4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4.666666666666667</v>
      </c>
      <c r="M47" s="27">
        <f t="shared" si="1"/>
        <v>9.3333333333333339</v>
      </c>
      <c r="N47" s="32">
        <f t="shared" si="2"/>
        <v>14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2884</v>
      </c>
      <c r="P47" s="11">
        <f>D47*E47*INslave+D47*KLslave*F47+MUslave*E47*F47</f>
        <v>935</v>
      </c>
      <c r="Q47" s="22">
        <f t="shared" si="3"/>
        <v>100</v>
      </c>
      <c r="R47" s="20">
        <f t="shared" si="22"/>
        <v>3919</v>
      </c>
      <c r="S47" s="33">
        <f t="shared" si="4"/>
        <v>3.4342094071616911</v>
      </c>
      <c r="T47" s="26">
        <f t="shared" si="5"/>
        <v>2.2267585268350771</v>
      </c>
      <c r="U47" s="34">
        <f t="shared" si="6"/>
        <v>0.35723398826231184</v>
      </c>
      <c r="V47" s="13">
        <f t="shared" si="7"/>
        <v>6.0182019222590801</v>
      </c>
      <c r="W47" s="123">
        <f t="shared" si="21"/>
        <v>0</v>
      </c>
      <c r="X47" s="4">
        <f t="shared" si="8"/>
        <v>6.0182019222590801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12.03640384451816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4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4.333333333333333</v>
      </c>
      <c r="M48" s="27">
        <f t="shared" si="1"/>
        <v>8.6666666666666661</v>
      </c>
      <c r="N48" s="32">
        <f t="shared" si="2"/>
        <v>13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2805</v>
      </c>
      <c r="P48" s="11">
        <f>E48*E48*INslave+E48*KLslave*F48+KLslave*E48*F48</f>
        <v>824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80</v>
      </c>
      <c r="R48" s="20">
        <f t="shared" si="22"/>
        <v>3709</v>
      </c>
      <c r="S48" s="33">
        <f t="shared" si="4"/>
        <v>3.2771636559719601</v>
      </c>
      <c r="T48" s="26">
        <f t="shared" si="5"/>
        <v>1.9254066684640962</v>
      </c>
      <c r="U48" s="34">
        <f t="shared" si="6"/>
        <v>0.28039902938797517</v>
      </c>
      <c r="V48" s="13">
        <f t="shared" si="7"/>
        <v>5.4829693538240312</v>
      </c>
      <c r="W48" s="123">
        <f t="shared" si="21"/>
        <v>0</v>
      </c>
      <c r="X48" s="4">
        <f t="shared" si="8"/>
        <v>5.4829693538240312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16.448908061472093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4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4.666666666666667</v>
      </c>
      <c r="M49" s="27">
        <f t="shared" si="1"/>
        <v>9.3333333333333339</v>
      </c>
      <c r="N49" s="32">
        <f t="shared" si="2"/>
        <v>14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2910</v>
      </c>
      <c r="P49" s="11">
        <f>E49*E49*FFslave+E49*KLslave*H49+KLslave*E49*H49</f>
        <v>928</v>
      </c>
      <c r="Q49" s="22">
        <f t="shared" si="23"/>
        <v>96</v>
      </c>
      <c r="R49" s="20">
        <f t="shared" si="22"/>
        <v>3934</v>
      </c>
      <c r="S49" s="33">
        <f t="shared" si="4"/>
        <v>3.4519572953736657</v>
      </c>
      <c r="T49" s="26">
        <f t="shared" si="5"/>
        <v>2.2016607354685647</v>
      </c>
      <c r="U49" s="34">
        <f t="shared" si="6"/>
        <v>0.34163701067615659</v>
      </c>
      <c r="V49" s="13">
        <f t="shared" si="7"/>
        <v>5.9952550415183863</v>
      </c>
      <c r="W49" s="123">
        <f t="shared" si="21"/>
        <v>0</v>
      </c>
      <c r="X49" s="4">
        <f t="shared" si="8"/>
        <v>5.9952550415183863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11.990510083036773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4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4.333333333333333</v>
      </c>
      <c r="M50" s="27">
        <f t="shared" si="1"/>
        <v>8.6666666666666661</v>
      </c>
      <c r="N50" s="32">
        <f t="shared" si="2"/>
        <v>13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2805</v>
      </c>
      <c r="P50" s="11">
        <f>E50*E50*INslave+E50*KLslave*F50+KLslave*E50*F50</f>
        <v>824</v>
      </c>
      <c r="Q50" s="22">
        <f t="shared" si="23"/>
        <v>80</v>
      </c>
      <c r="R50" s="20">
        <f t="shared" si="22"/>
        <v>3709</v>
      </c>
      <c r="S50" s="33">
        <f t="shared" si="4"/>
        <v>3.2771636559719601</v>
      </c>
      <c r="T50" s="26">
        <f t="shared" si="5"/>
        <v>1.9254066684640962</v>
      </c>
      <c r="U50" s="34">
        <f t="shared" si="6"/>
        <v>0.28039902938797517</v>
      </c>
      <c r="V50" s="13">
        <f t="shared" si="7"/>
        <v>5.4829693538240312</v>
      </c>
      <c r="W50" s="123">
        <f t="shared" si="21"/>
        <v>0</v>
      </c>
      <c r="X50" s="4">
        <f t="shared" si="8"/>
        <v>5.4829693538240312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5.4829693538240312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4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4.333333333333333</v>
      </c>
      <c r="M51" s="27">
        <f t="shared" si="1"/>
        <v>8.6666666666666661</v>
      </c>
      <c r="N51" s="32">
        <f t="shared" si="2"/>
        <v>13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2805</v>
      </c>
      <c r="P51" s="11">
        <f>E51*E51*INslave+E51*KLslave*F51+KLslave*E51*F51</f>
        <v>824</v>
      </c>
      <c r="Q51" s="22">
        <f t="shared" si="23"/>
        <v>80</v>
      </c>
      <c r="R51" s="20">
        <f t="shared" si="22"/>
        <v>3709</v>
      </c>
      <c r="S51" s="33">
        <f t="shared" si="4"/>
        <v>3.2771636559719601</v>
      </c>
      <c r="T51" s="26">
        <f t="shared" si="5"/>
        <v>1.9254066684640962</v>
      </c>
      <c r="U51" s="34">
        <f t="shared" si="6"/>
        <v>0.28039902938797517</v>
      </c>
      <c r="V51" s="13">
        <f t="shared" si="7"/>
        <v>5.4829693538240312</v>
      </c>
      <c r="W51" s="123">
        <f t="shared" si="21"/>
        <v>0</v>
      </c>
      <c r="X51" s="4">
        <f t="shared" si="8"/>
        <v>5.4829693538240312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5.4829693538240312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4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4.333333333333333</v>
      </c>
      <c r="M52" s="27">
        <f t="shared" si="1"/>
        <v>8.6666666666666661</v>
      </c>
      <c r="N52" s="32">
        <f t="shared" si="2"/>
        <v>13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2805</v>
      </c>
      <c r="P52" s="11">
        <f>E52*E52*INslave+E52*KLslave*F52+KLslave*E52*F52</f>
        <v>824</v>
      </c>
      <c r="Q52" s="22">
        <f t="shared" si="23"/>
        <v>80</v>
      </c>
      <c r="R52" s="20">
        <f t="shared" si="22"/>
        <v>3709</v>
      </c>
      <c r="S52" s="33">
        <f t="shared" si="4"/>
        <v>3.2771636559719601</v>
      </c>
      <c r="T52" s="26">
        <f t="shared" si="5"/>
        <v>1.9254066684640962</v>
      </c>
      <c r="U52" s="34">
        <f t="shared" si="6"/>
        <v>0.28039902938797517</v>
      </c>
      <c r="V52" s="13">
        <f t="shared" si="7"/>
        <v>5.4829693538240312</v>
      </c>
      <c r="W52" s="123">
        <f t="shared" si="21"/>
        <v>0</v>
      </c>
      <c r="X52" s="4">
        <f t="shared" si="8"/>
        <v>5.4829693538240312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10.965938707648062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4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4.333333333333333</v>
      </c>
      <c r="M53" s="27">
        <f t="shared" si="1"/>
        <v>8.6666666666666661</v>
      </c>
      <c r="N53" s="32">
        <f t="shared" si="2"/>
        <v>13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2805</v>
      </c>
      <c r="P53" s="11">
        <f>E53*E53*INslave+E53*KLslave*F53+KLslave*E53*F53</f>
        <v>824</v>
      </c>
      <c r="Q53" s="22">
        <f t="shared" si="23"/>
        <v>80</v>
      </c>
      <c r="R53" s="20">
        <f t="shared" si="22"/>
        <v>3709</v>
      </c>
      <c r="S53" s="33">
        <f t="shared" si="4"/>
        <v>3.2771636559719601</v>
      </c>
      <c r="T53" s="26">
        <f t="shared" si="5"/>
        <v>1.9254066684640962</v>
      </c>
      <c r="U53" s="34">
        <f t="shared" si="6"/>
        <v>0.28039902938797517</v>
      </c>
      <c r="V53" s="13">
        <f t="shared" si="7"/>
        <v>5.4829693538240312</v>
      </c>
      <c r="W53" s="123">
        <f t="shared" si="21"/>
        <v>0</v>
      </c>
      <c r="X53" s="4">
        <f t="shared" si="8"/>
        <v>5.4829693538240312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10.965938707648062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4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4.333333333333333</v>
      </c>
      <c r="M54" s="25">
        <f t="shared" si="1"/>
        <v>8.6666666666666661</v>
      </c>
      <c r="N54" s="36">
        <f t="shared" si="2"/>
        <v>13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2805</v>
      </c>
      <c r="P54" s="19">
        <f>E54*E54*INslave+E54*KLslave*F54+KLslave*E54*F54</f>
        <v>824</v>
      </c>
      <c r="Q54" s="23">
        <f t="shared" si="23"/>
        <v>80</v>
      </c>
      <c r="R54" s="24">
        <f>SUM(O54:Q54)</f>
        <v>3709</v>
      </c>
      <c r="S54" s="37">
        <f t="shared" si="4"/>
        <v>3.2771636559719601</v>
      </c>
      <c r="T54" s="25">
        <f t="shared" si="5"/>
        <v>1.9254066684640962</v>
      </c>
      <c r="U54" s="38">
        <f t="shared" si="6"/>
        <v>0.28039902938797517</v>
      </c>
      <c r="V54" s="14">
        <f t="shared" si="7"/>
        <v>5.4829693538240312</v>
      </c>
      <c r="W54" s="123">
        <f t="shared" si="21"/>
        <v>0</v>
      </c>
      <c r="X54" s="5">
        <f t="shared" si="8"/>
        <v>5.4829693538240312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5.4829693538240312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4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</v>
      </c>
      <c r="M56" s="27">
        <f t="shared" si="1"/>
        <v>10</v>
      </c>
      <c r="N56" s="28">
        <f t="shared" si="2"/>
        <v>15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2963</v>
      </c>
      <c r="P56" s="11">
        <f>D56*E56*FFslave+D56*KLslave*H56+MUslave*E56*H56</f>
        <v>1046</v>
      </c>
      <c r="Q56" s="62">
        <f t="shared" si="3"/>
        <v>120</v>
      </c>
      <c r="R56" s="60">
        <f>SUM(O56:Q56)</f>
        <v>4129</v>
      </c>
      <c r="S56" s="29">
        <f t="shared" si="4"/>
        <v>3.5880358440300313</v>
      </c>
      <c r="T56" s="30">
        <f t="shared" si="5"/>
        <v>2.5333010414143859</v>
      </c>
      <c r="U56" s="31">
        <f t="shared" si="6"/>
        <v>0.43594090578832645</v>
      </c>
      <c r="V56" s="12">
        <f t="shared" si="7"/>
        <v>6.5572777912327442</v>
      </c>
      <c r="W56" s="123">
        <f t="shared" ref="W56:W72" si="26">Istwerte</f>
        <v>0</v>
      </c>
      <c r="X56" s="3">
        <f t="shared" si="8"/>
        <v>6.5572777912327442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19.671833373698234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7</v>
      </c>
      <c r="J57" s="21"/>
      <c r="K57" s="22">
        <f>Konvention_1slave-KKslave</f>
        <v>11</v>
      </c>
      <c r="L57" s="27">
        <f t="shared" si="24"/>
        <v>8</v>
      </c>
      <c r="M57" s="27">
        <f t="shared" si="1"/>
        <v>16</v>
      </c>
      <c r="N57" s="32">
        <f t="shared" si="2"/>
        <v>24</v>
      </c>
      <c r="O57" s="11">
        <f t="shared" si="25"/>
        <v>3020</v>
      </c>
      <c r="P57" s="11">
        <f>H57*I57*KKslave+H57*GEslave*K57+FFslave*I57*K57</f>
        <v>2129</v>
      </c>
      <c r="Q57" s="22">
        <f t="shared" si="3"/>
        <v>462</v>
      </c>
      <c r="R57" s="20">
        <f t="shared" ref="R57:R71" si="27">SUM(O57:Q57)</f>
        <v>5611</v>
      </c>
      <c r="S57" s="33">
        <f t="shared" si="4"/>
        <v>4.3058278381750137</v>
      </c>
      <c r="T57" s="26">
        <f t="shared" si="5"/>
        <v>6.0709320976653007</v>
      </c>
      <c r="U57" s="34">
        <f t="shared" si="6"/>
        <v>1.9761183389770094</v>
      </c>
      <c r="V57" s="13">
        <f t="shared" si="7"/>
        <v>12.352878274817325</v>
      </c>
      <c r="W57" s="123">
        <f t="shared" si="26"/>
        <v>0</v>
      </c>
      <c r="X57" s="4">
        <f t="shared" si="8"/>
        <v>12.352878274817325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25.4115130992693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6</v>
      </c>
      <c r="I58" s="21"/>
      <c r="J58" s="21">
        <f>Konvention_1slave-KOslave</f>
        <v>6</v>
      </c>
      <c r="K58" s="22"/>
      <c r="L58" s="27">
        <f t="shared" si="24"/>
        <v>6.333333333333333</v>
      </c>
      <c r="M58" s="27">
        <f t="shared" si="1"/>
        <v>12.666666666666666</v>
      </c>
      <c r="N58" s="32">
        <f t="shared" si="2"/>
        <v>19</v>
      </c>
      <c r="O58" s="11">
        <f t="shared" si="25"/>
        <v>3055</v>
      </c>
      <c r="P58" s="11">
        <f>G58*H58*KOslave+G58*FFslave*J58+CHslave*H58*J58</f>
        <v>1524</v>
      </c>
      <c r="Q58" s="22">
        <f t="shared" si="3"/>
        <v>252</v>
      </c>
      <c r="R58" s="20">
        <f t="shared" si="27"/>
        <v>4831</v>
      </c>
      <c r="S58" s="33">
        <f t="shared" si="4"/>
        <v>4.0050369143724556</v>
      </c>
      <c r="T58" s="26">
        <f t="shared" si="5"/>
        <v>3.9958600703788036</v>
      </c>
      <c r="U58" s="34">
        <f t="shared" si="6"/>
        <v>0.99109915131442761</v>
      </c>
      <c r="V58" s="13">
        <f t="shared" si="7"/>
        <v>8.991996136065687</v>
      </c>
      <c r="W58" s="123">
        <f t="shared" si="26"/>
        <v>0</v>
      </c>
      <c r="X58" s="4">
        <f t="shared" si="8"/>
        <v>8.991996136065687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8.991996136065687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4</v>
      </c>
      <c r="F59" s="21">
        <f>Konvention_1slave-INslave</f>
        <v>5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5.333333333333333</v>
      </c>
      <c r="M59" s="27">
        <f t="shared" si="1"/>
        <v>10.666666666666666</v>
      </c>
      <c r="N59" s="32">
        <f t="shared" si="2"/>
        <v>16</v>
      </c>
      <c r="O59" s="11">
        <f t="shared" si="25"/>
        <v>3042</v>
      </c>
      <c r="P59" s="11">
        <f>E59*F59*CHslave+E59*INslave*G59+KLslave*F59*G59</f>
        <v>1157</v>
      </c>
      <c r="Q59" s="22">
        <f t="shared" si="3"/>
        <v>140</v>
      </c>
      <c r="R59" s="20">
        <f t="shared" si="27"/>
        <v>4339</v>
      </c>
      <c r="S59" s="33">
        <f t="shared" si="4"/>
        <v>3.739110394100023</v>
      </c>
      <c r="T59" s="26">
        <f t="shared" si="5"/>
        <v>2.8442805561957436</v>
      </c>
      <c r="U59" s="34">
        <f t="shared" si="6"/>
        <v>0.51624798340631484</v>
      </c>
      <c r="V59" s="13">
        <f t="shared" si="7"/>
        <v>7.0996389337020815</v>
      </c>
      <c r="W59" s="123">
        <f t="shared" si="26"/>
        <v>0</v>
      </c>
      <c r="X59" s="4">
        <f t="shared" si="8"/>
        <v>7.0996389337020815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14.199277867404163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4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4.666666666666667</v>
      </c>
      <c r="M60" s="27">
        <f t="shared" si="1"/>
        <v>9.3333333333333339</v>
      </c>
      <c r="N60" s="32">
        <f t="shared" si="2"/>
        <v>14</v>
      </c>
      <c r="O60" s="11">
        <f t="shared" si="25"/>
        <v>2884</v>
      </c>
      <c r="P60" s="11">
        <f>D60*E60*INslave+D60*KLslave*F60+MUslave*E60*F60</f>
        <v>935</v>
      </c>
      <c r="Q60" s="22">
        <f t="shared" si="3"/>
        <v>100</v>
      </c>
      <c r="R60" s="20">
        <f t="shared" si="27"/>
        <v>3919</v>
      </c>
      <c r="S60" s="33">
        <f t="shared" si="4"/>
        <v>3.4342094071616911</v>
      </c>
      <c r="T60" s="26">
        <f t="shared" si="5"/>
        <v>2.2267585268350771</v>
      </c>
      <c r="U60" s="34">
        <f t="shared" si="6"/>
        <v>0.35723398826231184</v>
      </c>
      <c r="V60" s="13">
        <f t="shared" si="7"/>
        <v>6.0182019222590801</v>
      </c>
      <c r="W60" s="123">
        <f t="shared" si="26"/>
        <v>0</v>
      </c>
      <c r="X60" s="4">
        <f t="shared" si="8"/>
        <v>6.0182019222590801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12.03640384451816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5.333333333333333</v>
      </c>
      <c r="M61" s="27">
        <f t="shared" si="1"/>
        <v>10.666666666666666</v>
      </c>
      <c r="N61" s="32">
        <f t="shared" si="2"/>
        <v>16</v>
      </c>
      <c r="O61" s="11">
        <f t="shared" si="25"/>
        <v>2996</v>
      </c>
      <c r="P61" s="11">
        <f>D61*F61*KOslave+D61*INslave*J61+MUslave*F61*J61</f>
        <v>1165</v>
      </c>
      <c r="Q61" s="22">
        <f t="shared" si="3"/>
        <v>150</v>
      </c>
      <c r="R61" s="20">
        <f t="shared" si="27"/>
        <v>4311</v>
      </c>
      <c r="S61" s="33">
        <f t="shared" si="4"/>
        <v>3.7064872806000153</v>
      </c>
      <c r="T61" s="26">
        <f t="shared" si="5"/>
        <v>2.8825485192917344</v>
      </c>
      <c r="U61" s="34">
        <f t="shared" si="6"/>
        <v>0.55671537926235215</v>
      </c>
      <c r="V61" s="13">
        <f t="shared" si="7"/>
        <v>7.145751179154102</v>
      </c>
      <c r="W61" s="123">
        <f t="shared" si="26"/>
        <v>0</v>
      </c>
      <c r="X61" s="4">
        <f t="shared" si="8"/>
        <v>7.145751179154102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14.291502358308204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7</v>
      </c>
      <c r="H62" s="21"/>
      <c r="I62" s="21"/>
      <c r="J62" s="21">
        <f>Konvention_1slave-KOslave</f>
        <v>6</v>
      </c>
      <c r="K62" s="22"/>
      <c r="L62" s="27">
        <f t="shared" si="24"/>
        <v>6</v>
      </c>
      <c r="M62" s="27">
        <f t="shared" si="1"/>
        <v>12</v>
      </c>
      <c r="N62" s="32">
        <f t="shared" si="2"/>
        <v>18</v>
      </c>
      <c r="O62" s="11">
        <f t="shared" si="25"/>
        <v>3062</v>
      </c>
      <c r="P62" s="11">
        <f>F62*G62*KOslave+F62*CHslave*J62+INslave*G62*J62</f>
        <v>1403</v>
      </c>
      <c r="Q62" s="22">
        <f t="shared" si="3"/>
        <v>210</v>
      </c>
      <c r="R62" s="20">
        <f t="shared" si="27"/>
        <v>4675</v>
      </c>
      <c r="S62" s="33">
        <f t="shared" si="4"/>
        <v>3.9298395721925132</v>
      </c>
      <c r="T62" s="26">
        <f t="shared" si="5"/>
        <v>3.6012834224598929</v>
      </c>
      <c r="U62" s="34">
        <f t="shared" si="6"/>
        <v>0.80855614973262036</v>
      </c>
      <c r="V62" s="13">
        <f t="shared" si="7"/>
        <v>8.3396791443850269</v>
      </c>
      <c r="W62" s="123">
        <f t="shared" si="26"/>
        <v>0</v>
      </c>
      <c r="X62" s="4">
        <f t="shared" si="8"/>
        <v>8.3396791443850269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16.679358288770054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4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5.333333333333333</v>
      </c>
      <c r="M63" s="27">
        <f t="shared" si="1"/>
        <v>10.666666666666666</v>
      </c>
      <c r="N63" s="32">
        <f t="shared" si="2"/>
        <v>16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3016</v>
      </c>
      <c r="P63" s="11">
        <f>E63*H63*FFslave+E63*FFslave*H63+KLslave*H63*H63</f>
        <v>1164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144</v>
      </c>
      <c r="R63" s="20">
        <f t="shared" si="27"/>
        <v>4324</v>
      </c>
      <c r="S63" s="33">
        <f t="shared" si="4"/>
        <v>3.7200123342584024</v>
      </c>
      <c r="T63" s="26">
        <f t="shared" si="5"/>
        <v>2.8714153561517115</v>
      </c>
      <c r="U63" s="34">
        <f t="shared" si="6"/>
        <v>0.5328399629972248</v>
      </c>
      <c r="V63" s="13">
        <f t="shared" si="7"/>
        <v>7.1242676534073395</v>
      </c>
      <c r="W63" s="123">
        <f t="shared" si="26"/>
        <v>0</v>
      </c>
      <c r="X63" s="4">
        <f t="shared" si="8"/>
        <v>7.1242676534073395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28.497070613629358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7</v>
      </c>
      <c r="J64" s="21"/>
      <c r="K64" s="22">
        <f>Konvention_1slave-KKslave</f>
        <v>11</v>
      </c>
      <c r="L64" s="27">
        <f>(D64+E64+F64+G64+H64+I64+J64+K64)/3</f>
        <v>8</v>
      </c>
      <c r="M64" s="27">
        <f t="shared" si="1"/>
        <v>16</v>
      </c>
      <c r="N64" s="32">
        <f t="shared" si="2"/>
        <v>24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3020</v>
      </c>
      <c r="P64" s="11">
        <f>H64*I64*KKslave+H64*GEslave*K64+FFslave*I64*K64</f>
        <v>2129</v>
      </c>
      <c r="Q64" s="22">
        <f t="shared" si="3"/>
        <v>462</v>
      </c>
      <c r="R64" s="20">
        <f t="shared" si="27"/>
        <v>5611</v>
      </c>
      <c r="S64" s="33">
        <f t="shared" si="4"/>
        <v>4.3058278381750137</v>
      </c>
      <c r="T64" s="26">
        <f t="shared" si="5"/>
        <v>6.0709320976653007</v>
      </c>
      <c r="U64" s="34">
        <f t="shared" si="6"/>
        <v>1.9761183389770094</v>
      </c>
      <c r="V64" s="13">
        <f t="shared" si="7"/>
        <v>12.352878274817325</v>
      </c>
      <c r="W64" s="123">
        <f t="shared" si="26"/>
        <v>0</v>
      </c>
      <c r="X64" s="4">
        <f t="shared" si="8"/>
        <v>12.352878274817325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25.4115130992693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6</v>
      </c>
      <c r="I65" s="21"/>
      <c r="J65" s="21"/>
      <c r="K65" s="22"/>
      <c r="L65" s="27">
        <f>(F65+H65+H65)/3</f>
        <v>5.666666666666667</v>
      </c>
      <c r="M65" s="27">
        <f t="shared" si="1"/>
        <v>11.333333333333334</v>
      </c>
      <c r="N65" s="32">
        <f t="shared" si="2"/>
        <v>17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3029</v>
      </c>
      <c r="P65" s="11">
        <f>F65*H65*FFslave+F65*FFslave*H65+INslave*H65*H65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7"/>
        <v>4493</v>
      </c>
      <c r="S65" s="33">
        <f t="shared" si="4"/>
        <v>3.8202388901253808</v>
      </c>
      <c r="T65" s="26">
        <f t="shared" si="5"/>
        <v>3.2388159359002895</v>
      </c>
      <c r="U65" s="34">
        <f t="shared" si="6"/>
        <v>0.68105942577342538</v>
      </c>
      <c r="V65" s="13">
        <f t="shared" si="7"/>
        <v>7.7401142517990964</v>
      </c>
      <c r="W65" s="123">
        <f t="shared" si="26"/>
        <v>0</v>
      </c>
      <c r="X65" s="4">
        <f t="shared" si="8"/>
        <v>7.7401142517990964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7</v>
      </c>
      <c r="J66" s="21">
        <f>Konvention_1slave-KOslave</f>
        <v>6</v>
      </c>
      <c r="K66" s="22"/>
      <c r="L66" s="27">
        <f>(D66+E66+F66+G66+H66+I66+J66+K66)/3</f>
        <v>6.333333333333333</v>
      </c>
      <c r="M66" s="27">
        <f t="shared" si="1"/>
        <v>12.666666666666666</v>
      </c>
      <c r="N66" s="32">
        <f t="shared" si="2"/>
        <v>19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3055</v>
      </c>
      <c r="P66" s="11">
        <f>H66*I66*KOslave+H66*GEslave*J66+FFslave*I66*J66</f>
        <v>1524</v>
      </c>
      <c r="Q66" s="22">
        <f t="shared" si="3"/>
        <v>252</v>
      </c>
      <c r="R66" s="20">
        <f t="shared" si="27"/>
        <v>4831</v>
      </c>
      <c r="S66" s="33">
        <f t="shared" si="4"/>
        <v>4.0050369143724556</v>
      </c>
      <c r="T66" s="26">
        <f t="shared" si="5"/>
        <v>3.9958600703788036</v>
      </c>
      <c r="U66" s="34">
        <f t="shared" si="6"/>
        <v>0.99109915131442761</v>
      </c>
      <c r="V66" s="13">
        <f t="shared" si="7"/>
        <v>8.991996136065687</v>
      </c>
      <c r="W66" s="123">
        <f t="shared" si="26"/>
        <v>0</v>
      </c>
      <c r="X66" s="4">
        <f t="shared" si="8"/>
        <v>8.991996136065687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17.983992272131374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6</v>
      </c>
      <c r="I67" s="21"/>
      <c r="J67" s="21"/>
      <c r="K67" s="22"/>
      <c r="L67" s="27">
        <f>(F67+H67+H67)/3</f>
        <v>5.666666666666667</v>
      </c>
      <c r="M67" s="27">
        <f t="shared" si="1"/>
        <v>11.333333333333334</v>
      </c>
      <c r="N67" s="32">
        <f t="shared" si="2"/>
        <v>17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3029</v>
      </c>
      <c r="P67" s="11">
        <f>F67*H67*FFslave+F67*FFslave*H67+INslave*H67*H67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7"/>
        <v>4493</v>
      </c>
      <c r="S67" s="33">
        <f t="shared" si="4"/>
        <v>3.8202388901253808</v>
      </c>
      <c r="T67" s="26">
        <f t="shared" si="5"/>
        <v>3.2388159359002895</v>
      </c>
      <c r="U67" s="34">
        <f t="shared" si="6"/>
        <v>0.68105942577342538</v>
      </c>
      <c r="V67" s="13">
        <f t="shared" si="7"/>
        <v>7.7401142517990964</v>
      </c>
      <c r="W67" s="123">
        <f t="shared" si="26"/>
        <v>0</v>
      </c>
      <c r="X67" s="4">
        <f t="shared" si="8"/>
        <v>7.7401142517990964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6</v>
      </c>
      <c r="K68" s="22">
        <f>Konvention_1slave-KKslave</f>
        <v>11</v>
      </c>
      <c r="L68" s="27">
        <f>(D68+E68+F68+G68+H68+I68+J68+K68)/3</f>
        <v>7.666666666666667</v>
      </c>
      <c r="M68" s="27">
        <f t="shared" si="1"/>
        <v>15.333333333333334</v>
      </c>
      <c r="N68" s="32">
        <f t="shared" si="2"/>
        <v>23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3107</v>
      </c>
      <c r="P68" s="11">
        <f>H68*J68*KKslave+H68*KOslave*K68+FFslave*J68*K68</f>
        <v>2004</v>
      </c>
      <c r="Q68" s="22">
        <f>IFERROR(D68^SIGN(D68),1)*IFERROR(E68^SIGN(E68),1)*IFERROR(F68^SIGN(F68),1)*IFERROR(G68^SIGN(G68),1)*IFERROR(H68^SIGN(H68),1)*IFERROR(I68^SIGN(I68),1)*IFERROR(J68^SIGN(J68),1)*IFERROR(K68^SIGN(K68),1)</f>
        <v>396</v>
      </c>
      <c r="R68" s="20">
        <f t="shared" si="27"/>
        <v>5507</v>
      </c>
      <c r="S68" s="33">
        <f t="shared" si="4"/>
        <v>4.3254645602566439</v>
      </c>
      <c r="T68" s="26">
        <f t="shared" si="5"/>
        <v>5.5798075177047393</v>
      </c>
      <c r="U68" s="34">
        <f t="shared" si="6"/>
        <v>1.6538950426729617</v>
      </c>
      <c r="V68" s="13">
        <f t="shared" si="7"/>
        <v>11.559167120634346</v>
      </c>
      <c r="W68" s="123">
        <f t="shared" si="26"/>
        <v>0</v>
      </c>
      <c r="X68" s="4">
        <f t="shared" si="8"/>
        <v>11.559167120634346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34.67750136190304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6</v>
      </c>
      <c r="I69" s="21"/>
      <c r="J69" s="21">
        <f>Konvention_1slave-KOslave</f>
        <v>6</v>
      </c>
      <c r="K69" s="22"/>
      <c r="L69" s="27">
        <f>(D69+E69+F69+G69+H69+I69+J69+K69)/3</f>
        <v>6.333333333333333</v>
      </c>
      <c r="M69" s="27">
        <f t="shared" si="1"/>
        <v>12.666666666666666</v>
      </c>
      <c r="N69" s="32">
        <f t="shared" si="2"/>
        <v>19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3055</v>
      </c>
      <c r="P69" s="11">
        <f>G69*H69*KOslave+G69*FFslave*J69+CHslave*H69*J69</f>
        <v>1524</v>
      </c>
      <c r="Q69" s="22">
        <f>IFERROR(D69^SIGN(D69),1)*IFERROR(E69^SIGN(E69),1)*IFERROR(F69^SIGN(F69),1)*IFERROR(G69^SIGN(G69),1)*IFERROR(H69^SIGN(H69),1)*IFERROR(I69^SIGN(I69),1)*IFERROR(J69^SIGN(J69),1)*IFERROR(K69^SIGN(K69),1)</f>
        <v>252</v>
      </c>
      <c r="R69" s="20">
        <f t="shared" si="27"/>
        <v>4831</v>
      </c>
      <c r="S69" s="33">
        <f t="shared" si="4"/>
        <v>4.0050369143724556</v>
      </c>
      <c r="T69" s="26">
        <f t="shared" si="5"/>
        <v>3.9958600703788036</v>
      </c>
      <c r="U69" s="34">
        <f t="shared" si="6"/>
        <v>0.99109915131442761</v>
      </c>
      <c r="V69" s="13">
        <f t="shared" si="7"/>
        <v>8.991996136065687</v>
      </c>
      <c r="W69" s="123">
        <f t="shared" si="26"/>
        <v>0</v>
      </c>
      <c r="X69" s="4">
        <f t="shared" si="8"/>
        <v>8.991996136065687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8.991996136065687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6</v>
      </c>
      <c r="I70" s="21"/>
      <c r="J70" s="21"/>
      <c r="K70" s="22"/>
      <c r="L70" s="27">
        <f>(F70+H70+H70)/3</f>
        <v>5.666666666666667</v>
      </c>
      <c r="M70" s="27">
        <f t="shared" si="1"/>
        <v>11.333333333333334</v>
      </c>
      <c r="N70" s="32">
        <f t="shared" si="2"/>
        <v>17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3029</v>
      </c>
      <c r="P70" s="11">
        <f>F70*H70*FFslave+F70*FFslave*H70+INslave*H70*H70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7"/>
        <v>4493</v>
      </c>
      <c r="S70" s="33">
        <f t="shared" si="4"/>
        <v>3.8202388901253808</v>
      </c>
      <c r="T70" s="26">
        <f t="shared" si="5"/>
        <v>3.2388159359002895</v>
      </c>
      <c r="U70" s="34">
        <f t="shared" si="6"/>
        <v>0.68105942577342538</v>
      </c>
      <c r="V70" s="13">
        <f t="shared" si="7"/>
        <v>7.7401142517990964</v>
      </c>
      <c r="W70" s="123">
        <f t="shared" si="26"/>
        <v>0</v>
      </c>
      <c r="X70" s="4">
        <f t="shared" si="8"/>
        <v>7.7401142517990964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11</v>
      </c>
      <c r="L71" s="27">
        <f>(H71+H71+K71)/3</f>
        <v>7.666666666666667</v>
      </c>
      <c r="M71" s="27">
        <f t="shared" si="1"/>
        <v>15.333333333333334</v>
      </c>
      <c r="N71" s="32">
        <f t="shared" si="2"/>
        <v>23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3107</v>
      </c>
      <c r="P71" s="11">
        <f>H71*H71*KKslave+H71*FFslave*K71+FFslave*H71*K71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7"/>
        <v>5507</v>
      </c>
      <c r="S71" s="33">
        <f t="shared" si="4"/>
        <v>4.3254645602566439</v>
      </c>
      <c r="T71" s="26">
        <f t="shared" si="5"/>
        <v>5.5798075177047393</v>
      </c>
      <c r="U71" s="34">
        <f t="shared" si="6"/>
        <v>1.6538950426729617</v>
      </c>
      <c r="V71" s="13">
        <f t="shared" si="7"/>
        <v>11.559167120634346</v>
      </c>
      <c r="W71" s="123">
        <f t="shared" si="26"/>
        <v>0</v>
      </c>
      <c r="X71" s="4">
        <f t="shared" si="8"/>
        <v>11.559167120634346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4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5.333333333333333</v>
      </c>
      <c r="M72" s="25">
        <f t="shared" si="1"/>
        <v>10.666666666666666</v>
      </c>
      <c r="N72" s="36">
        <f t="shared" si="2"/>
        <v>16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3016</v>
      </c>
      <c r="P72" s="19">
        <f>E72*H72*FFslave+E72*FFslave*H72+KLslave*H72*H72</f>
        <v>1164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144</v>
      </c>
      <c r="R72" s="24">
        <f>SUM(O72:Q72)</f>
        <v>4324</v>
      </c>
      <c r="S72" s="37">
        <f t="shared" si="4"/>
        <v>3.7200123342584024</v>
      </c>
      <c r="T72" s="25">
        <f t="shared" si="5"/>
        <v>2.8714153561517115</v>
      </c>
      <c r="U72" s="38">
        <f t="shared" si="6"/>
        <v>0.5328399629972248</v>
      </c>
      <c r="V72" s="14">
        <f t="shared" si="7"/>
        <v>7.1242676534073395</v>
      </c>
      <c r="W72" s="123">
        <f t="shared" si="26"/>
        <v>0</v>
      </c>
      <c r="X72" s="5">
        <f t="shared" si="8"/>
        <v>7.1242676534073395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7.1242676534073395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2992.0847457627119</v>
      </c>
      <c r="P74" s="30">
        <f>AVERAGE(P10:P72)</f>
        <v>1326.3898305084747</v>
      </c>
      <c r="Q74" s="31">
        <f>AVERAGE(Q10:Q72)</f>
        <v>202.79661016949152</v>
      </c>
      <c r="R74" s="31">
        <f>O74+P74+Q74</f>
        <v>4521.2711864406783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112.125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8.0227244686122781</v>
      </c>
      <c r="W75" s="56">
        <f>W78/COUNT(W10:W72)</f>
        <v>0</v>
      </c>
      <c r="X75" s="56">
        <f>X78/COUNTIF(X10:X72,"&gt;0")</f>
        <v>8.0227244686122781</v>
      </c>
      <c r="Y75" s="132">
        <v>0</v>
      </c>
      <c r="Z75" s="74">
        <f>Z78/COUNTIF(Z10:Z72,"&gt;0")</f>
        <v>17.092931189542053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112</v>
      </c>
      <c r="F78" s="45">
        <f t="shared" si="29"/>
        <v>150</v>
      </c>
      <c r="G78" s="45">
        <f t="shared" si="29"/>
        <v>126</v>
      </c>
      <c r="H78" s="45">
        <f t="shared" si="29"/>
        <v>114</v>
      </c>
      <c r="I78" s="45">
        <f t="shared" si="29"/>
        <v>105</v>
      </c>
      <c r="J78" s="45">
        <f t="shared" si="29"/>
        <v>90</v>
      </c>
      <c r="K78" s="46">
        <f t="shared" si="29"/>
        <v>110</v>
      </c>
      <c r="L78" s="50">
        <f>SUM(L10:L72)</f>
        <v>340.66666666666674</v>
      </c>
      <c r="M78" s="51">
        <f>SUM(M10:M72)</f>
        <v>681.33333333333348</v>
      </c>
      <c r="N78" s="52">
        <f>SUM(N10:N72)</f>
        <v>1022</v>
      </c>
      <c r="O78" s="47">
        <f>O74/O76</f>
        <v>0.43622754712971451</v>
      </c>
      <c r="P78" s="48">
        <f>P74/P76</f>
        <v>0.19337947667421995</v>
      </c>
      <c r="Q78" s="49">
        <f>Q74/Q76</f>
        <v>2.9566498056493879E-2</v>
      </c>
      <c r="R78" s="47">
        <f>O78+P78+Q78</f>
        <v>0.65917352186042832</v>
      </c>
      <c r="S78" s="47">
        <f>L78*O74/R74</f>
        <v>225.44622843683035</v>
      </c>
      <c r="T78" s="48">
        <f>M78*P74/R74</f>
        <v>199.88042460934821</v>
      </c>
      <c r="U78" s="49">
        <f>N78*Q74/R74</f>
        <v>45.840677775486867</v>
      </c>
      <c r="V78" s="53">
        <f>SUMIF(V10:V72,"&gt;0")</f>
        <v>473.34074364812437</v>
      </c>
      <c r="W78" s="66">
        <f>SUM(W10:W72)</f>
        <v>0</v>
      </c>
      <c r="X78" s="53">
        <f>SUMIF(X10:X72,"&gt;0")</f>
        <v>473.34074364812437</v>
      </c>
      <c r="Y78" s="53">
        <f>SUMIF(Y10:Y72,"&gt;0")</f>
        <v>0</v>
      </c>
      <c r="Z78" s="86">
        <f>SUMIF(Z10:Z72,"&gt;0")</f>
        <v>1008.4829401829811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4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13" priority="79" operator="lessThanOrEqual">
      <formula>0</formula>
    </cfRule>
  </conditionalFormatting>
  <conditionalFormatting sqref="D78:K78 J75">
    <cfRule type="colorScale" priority="78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12" priority="14" operator="lessThanOrEqual">
      <formula>0</formula>
    </cfRule>
  </conditionalFormatting>
  <conditionalFormatting sqref="X56:X75">
    <cfRule type="colorScale" priority="1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10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9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8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Z10:Z75">
    <cfRule type="colorScale" priority="7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Z10:Z75">
    <cfRule type="colorScale" priority="6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Z10:Z75">
    <cfRule type="colorScale" priority="4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1"/>
  <sheetViews>
    <sheetView topLeftCell="A70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</f>
        <v>14</v>
      </c>
      <c r="F2" s="95">
        <f>INmaster+1</f>
        <v>15</v>
      </c>
      <c r="G2" s="95">
        <f>CHmaster</f>
        <v>12</v>
      </c>
      <c r="H2" s="95">
        <f>FFmaster</f>
        <v>13</v>
      </c>
      <c r="I2" s="95">
        <f>GEmaster</f>
        <v>12</v>
      </c>
      <c r="J2" s="95">
        <f>KOmaster</f>
        <v>13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570</v>
      </c>
      <c r="M5" s="92">
        <f>W81</f>
        <v>0</v>
      </c>
      <c r="N5" s="93">
        <f>L5+M5</f>
        <v>570</v>
      </c>
      <c r="O5" s="125">
        <v>1100</v>
      </c>
      <c r="P5" s="94">
        <f>O5-N5</f>
        <v>530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4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5.333333333333333</v>
      </c>
      <c r="M10" s="27">
        <f>2*L10</f>
        <v>10.666666666666666</v>
      </c>
      <c r="N10" s="28">
        <f>3*L10</f>
        <v>16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3042</v>
      </c>
      <c r="P10" s="11">
        <f>D10*F10*GEslave+D10*INslave*I10+MUslave*F10*I10</f>
        <v>1157</v>
      </c>
      <c r="Q10" s="62">
        <f>IFERROR(D10^SIGN(D10),1)*IFERROR(E10^SIGN(E10),1)*IFERROR(F10^SIGN(F10),1)*IFERROR(G10^SIGN(G10),1)*IFERROR(H10^SIGN(H10),1)*IFERROR(I10^SIGN(I10),1)*IFERROR(J10^SIGN(J10),1)*IFERROR(K10^SIGN(K10),1)</f>
        <v>140</v>
      </c>
      <c r="R10" s="60">
        <f>SUM(O10:Q10)</f>
        <v>4339</v>
      </c>
      <c r="S10" s="29">
        <f>L10*O10/R10</f>
        <v>3.739110394100023</v>
      </c>
      <c r="T10" s="30">
        <f>M10*P10/R10</f>
        <v>2.8442805561957436</v>
      </c>
      <c r="U10" s="31">
        <f>N10*Q10/R10</f>
        <v>0.51624798340631484</v>
      </c>
      <c r="V10" s="3">
        <f>SUM(S10:U10)</f>
        <v>7.0996389337020815</v>
      </c>
      <c r="W10" s="129">
        <f t="shared" ref="W10:W23" si="0">Istwerte</f>
        <v>0</v>
      </c>
      <c r="X10" s="3">
        <f>V10-W10</f>
        <v>7.0996389337020815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14.199277867404163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7</v>
      </c>
      <c r="H11" s="21">
        <f>Konvention_1slave-FFslave</f>
        <v>6</v>
      </c>
      <c r="I11" s="21"/>
      <c r="J11" s="21"/>
      <c r="K11" s="22"/>
      <c r="L11" s="27">
        <f>(D11+E11+F11+G11+H11+I11+J11+K11)/3</f>
        <v>6</v>
      </c>
      <c r="M11" s="27">
        <f t="shared" ref="M11:M72" si="1">2*L11</f>
        <v>12</v>
      </c>
      <c r="N11" s="32">
        <f t="shared" ref="N11:N72" si="2">3*L11</f>
        <v>18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3062</v>
      </c>
      <c r="P11" s="11">
        <f>D11*G11*FFslave+D11*CHslave*H11+MUslave*G11*H11</f>
        <v>1403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210</v>
      </c>
      <c r="R11" s="20">
        <f>SUM(O11:Q11)</f>
        <v>4675</v>
      </c>
      <c r="S11" s="33">
        <f t="shared" ref="S11:S72" si="4">L11*O11/R11</f>
        <v>3.9298395721925132</v>
      </c>
      <c r="T11" s="26">
        <f t="shared" ref="T11:T72" si="5">M11*P11/R11</f>
        <v>3.6012834224598929</v>
      </c>
      <c r="U11" s="34">
        <f t="shared" ref="U11:U72" si="6">N11*Q11/R11</f>
        <v>0.80855614973262036</v>
      </c>
      <c r="V11" s="4">
        <f t="shared" ref="V11:V72" si="7">SUM(S11:U11)</f>
        <v>8.3396791443850269</v>
      </c>
      <c r="W11" s="123">
        <f t="shared" si="0"/>
        <v>0</v>
      </c>
      <c r="X11" s="4">
        <f t="shared" ref="X11:X72" si="8">V11-W11</f>
        <v>8.3396791443850269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8.3396791443850269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11</v>
      </c>
      <c r="L12" s="27">
        <f>(D12+E12+F12+G12+H12+I12+J12+K12)/3</f>
        <v>7.666666666666667</v>
      </c>
      <c r="M12" s="27">
        <f t="shared" si="1"/>
        <v>15.333333333333334</v>
      </c>
      <c r="N12" s="32">
        <f t="shared" si="2"/>
        <v>23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3112</v>
      </c>
      <c r="P12" s="11">
        <f>D12*I12*KKslave+D12*GEslave*K12+MUslave*I12*K12</f>
        <v>2018</v>
      </c>
      <c r="Q12" s="22">
        <f t="shared" si="3"/>
        <v>385</v>
      </c>
      <c r="R12" s="20">
        <f t="shared" ref="R12:R22" si="10">SUM(O12:Q12)</f>
        <v>5515</v>
      </c>
      <c r="S12" s="33">
        <f t="shared" si="4"/>
        <v>4.3261408280447267</v>
      </c>
      <c r="T12" s="26">
        <f t="shared" si="5"/>
        <v>5.6106376548806285</v>
      </c>
      <c r="U12" s="34">
        <f t="shared" si="6"/>
        <v>1.6056210335448775</v>
      </c>
      <c r="V12" s="4">
        <f t="shared" si="7"/>
        <v>11.542399516470233</v>
      </c>
      <c r="W12" s="123">
        <f t="shared" si="0"/>
        <v>0</v>
      </c>
      <c r="X12" s="4">
        <f t="shared" si="8"/>
        <v>11.542399516470233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23.084799032940467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6</v>
      </c>
      <c r="K13" s="22"/>
      <c r="L13" s="27">
        <f>(I13+I13+J13)/3</f>
        <v>6.666666666666667</v>
      </c>
      <c r="M13" s="27">
        <f t="shared" si="1"/>
        <v>13.333333333333334</v>
      </c>
      <c r="N13" s="32">
        <f t="shared" si="2"/>
        <v>20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3048</v>
      </c>
      <c r="P13" s="11">
        <f>I13*I13*KOslave+I13*GEslave*J13+GEslave*I13*J13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10"/>
        <v>4987</v>
      </c>
      <c r="S13" s="33">
        <f t="shared" si="4"/>
        <v>4.0745939442550636</v>
      </c>
      <c r="T13" s="26">
        <f t="shared" si="5"/>
        <v>4.3981017311677029</v>
      </c>
      <c r="U13" s="34">
        <f t="shared" si="6"/>
        <v>1.1790655704832564</v>
      </c>
      <c r="V13" s="4">
        <f t="shared" si="7"/>
        <v>9.6517612459060231</v>
      </c>
      <c r="W13" s="123">
        <f t="shared" si="0"/>
        <v>0</v>
      </c>
      <c r="X13" s="4">
        <f t="shared" si="8"/>
        <v>9.6517612459060231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11</v>
      </c>
      <c r="L14" s="27">
        <f>(J14+K14+K14)/3</f>
        <v>9.3333333333333339</v>
      </c>
      <c r="M14" s="27">
        <f t="shared" si="1"/>
        <v>18.666666666666668</v>
      </c>
      <c r="N14" s="32">
        <f t="shared" si="2"/>
        <v>28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2672</v>
      </c>
      <c r="P14" s="11">
        <f>J14*K14*KKslave+J14*KKslave*K14+KOslave*K14*K14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10"/>
        <v>6027</v>
      </c>
      <c r="S14" s="33">
        <f t="shared" si="4"/>
        <v>4.137824235385211</v>
      </c>
      <c r="T14" s="26">
        <f t="shared" si="5"/>
        <v>8.1424699961285327</v>
      </c>
      <c r="U14" s="34">
        <f t="shared" si="6"/>
        <v>3.3728222996515678</v>
      </c>
      <c r="V14" s="4">
        <f t="shared" si="7"/>
        <v>15.65311653116531</v>
      </c>
      <c r="W14" s="123">
        <f t="shared" si="0"/>
        <v>0</v>
      </c>
      <c r="X14" s="4">
        <f t="shared" si="8"/>
        <v>15.65311653116531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7</v>
      </c>
      <c r="J15" s="21"/>
      <c r="K15" s="22">
        <f>Konvention_1slave-KKslave</f>
        <v>11</v>
      </c>
      <c r="L15" s="27">
        <f>(D15+E15+F15+G15+H15+I15+J15+K15)/3</f>
        <v>8.3333333333333339</v>
      </c>
      <c r="M15" s="27">
        <f t="shared" si="1"/>
        <v>16.666666666666668</v>
      </c>
      <c r="N15" s="32">
        <f t="shared" si="2"/>
        <v>25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2928</v>
      </c>
      <c r="P15" s="11">
        <f>G15*I15*KKslave+G15*GEslave*K15+CHslave*I15*K15</f>
        <v>2240</v>
      </c>
      <c r="Q15" s="22">
        <f t="shared" si="3"/>
        <v>539</v>
      </c>
      <c r="R15" s="20">
        <f t="shared" si="10"/>
        <v>5707</v>
      </c>
      <c r="S15" s="33">
        <f t="shared" si="4"/>
        <v>4.2754512002803571</v>
      </c>
      <c r="T15" s="26">
        <f t="shared" si="5"/>
        <v>6.541673967642077</v>
      </c>
      <c r="U15" s="34">
        <f t="shared" si="6"/>
        <v>2.361135447695812</v>
      </c>
      <c r="V15" s="4">
        <f t="shared" si="7"/>
        <v>13.178260615618246</v>
      </c>
      <c r="W15" s="123">
        <f t="shared" si="0"/>
        <v>0</v>
      </c>
      <c r="X15" s="4">
        <f t="shared" si="8"/>
        <v>13.178260615618246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29.069563693709476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6</v>
      </c>
      <c r="K16" s="22">
        <f>Konvention_1slave-KKslave</f>
        <v>11</v>
      </c>
      <c r="L16" s="27">
        <f>(D16+E16+F16+G16+H16+I16+J16+K16)/3</f>
        <v>8</v>
      </c>
      <c r="M16" s="27">
        <f t="shared" si="1"/>
        <v>16</v>
      </c>
      <c r="N16" s="32">
        <f t="shared" si="2"/>
        <v>24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3020</v>
      </c>
      <c r="P16" s="11">
        <f>I16*J16*KKslave+I16*KOslave*K16+GEslave*J16*K16</f>
        <v>2129</v>
      </c>
      <c r="Q16" s="22">
        <f t="shared" si="3"/>
        <v>462</v>
      </c>
      <c r="R16" s="20">
        <f t="shared" si="10"/>
        <v>5611</v>
      </c>
      <c r="S16" s="33">
        <f t="shared" si="4"/>
        <v>4.3058278381750137</v>
      </c>
      <c r="T16" s="26">
        <f t="shared" si="5"/>
        <v>6.0709320976653007</v>
      </c>
      <c r="U16" s="34">
        <f t="shared" si="6"/>
        <v>1.9761183389770094</v>
      </c>
      <c r="V16" s="4">
        <f t="shared" si="7"/>
        <v>12.352878274817325</v>
      </c>
      <c r="W16" s="123">
        <f t="shared" si="0"/>
        <v>0</v>
      </c>
      <c r="X16" s="4">
        <f t="shared" si="8"/>
        <v>12.352878274817325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25.4115130992693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5.333333333333333</v>
      </c>
      <c r="M17" s="27">
        <f t="shared" si="1"/>
        <v>10.666666666666666</v>
      </c>
      <c r="N17" s="32">
        <f t="shared" si="2"/>
        <v>16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2996</v>
      </c>
      <c r="P17" s="11">
        <f>D17*D17*KOslave+D17*MUslave*J17+MUslave*D17*J17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10"/>
        <v>4311</v>
      </c>
      <c r="S17" s="33">
        <f t="shared" si="4"/>
        <v>3.7064872806000153</v>
      </c>
      <c r="T17" s="26">
        <f t="shared" si="5"/>
        <v>2.8825485192917344</v>
      </c>
      <c r="U17" s="34">
        <f t="shared" si="6"/>
        <v>0.55671537926235215</v>
      </c>
      <c r="V17" s="4">
        <f t="shared" si="7"/>
        <v>7.145751179154102</v>
      </c>
      <c r="W17" s="123">
        <f t="shared" si="0"/>
        <v>0</v>
      </c>
      <c r="X17" s="4">
        <f t="shared" si="8"/>
        <v>7.145751179154102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7</v>
      </c>
      <c r="H18" s="21"/>
      <c r="I18" s="21"/>
      <c r="J18" s="21">
        <f>Konvention_1slave-KOslave</f>
        <v>6</v>
      </c>
      <c r="K18" s="22"/>
      <c r="L18" s="27">
        <f>(D18+E18+F18+G18+H18+I18+J18+K18)/3</f>
        <v>6</v>
      </c>
      <c r="M18" s="27">
        <f t="shared" si="1"/>
        <v>12</v>
      </c>
      <c r="N18" s="32">
        <f t="shared" si="2"/>
        <v>18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3062</v>
      </c>
      <c r="P18" s="11">
        <f>E18*G18*KOslave+E18*CHslave*J18+KLslave*G18*J18</f>
        <v>1403</v>
      </c>
      <c r="Q18" s="22">
        <f t="shared" si="3"/>
        <v>210</v>
      </c>
      <c r="R18" s="20">
        <f t="shared" si="10"/>
        <v>4675</v>
      </c>
      <c r="S18" s="33">
        <f t="shared" si="4"/>
        <v>3.9298395721925132</v>
      </c>
      <c r="T18" s="26">
        <f t="shared" si="5"/>
        <v>3.6012834224598929</v>
      </c>
      <c r="U18" s="34">
        <f t="shared" si="6"/>
        <v>0.80855614973262036</v>
      </c>
      <c r="V18" s="4">
        <f t="shared" si="7"/>
        <v>8.3396791443850269</v>
      </c>
      <c r="W18" s="123">
        <f t="shared" si="0"/>
        <v>0</v>
      </c>
      <c r="X18" s="4">
        <f t="shared" si="8"/>
        <v>8.3396791443850269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8.3396791443850269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4</v>
      </c>
      <c r="G19" s="21"/>
      <c r="H19" s="21"/>
      <c r="I19" s="21"/>
      <c r="J19" s="21"/>
      <c r="K19" s="22"/>
      <c r="L19" s="27">
        <f>(E19+F19+F19)/3</f>
        <v>4.333333333333333</v>
      </c>
      <c r="M19" s="27">
        <f t="shared" si="1"/>
        <v>8.6666666666666661</v>
      </c>
      <c r="N19" s="32">
        <f t="shared" si="2"/>
        <v>13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2805</v>
      </c>
      <c r="P19" s="11">
        <f>E19*F19*INslave+E19*INslave*F19+KLslave*F19*F19</f>
        <v>824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80</v>
      </c>
      <c r="R19" s="20">
        <f t="shared" si="10"/>
        <v>3709</v>
      </c>
      <c r="S19" s="33">
        <f t="shared" si="4"/>
        <v>3.2771636559719601</v>
      </c>
      <c r="T19" s="26">
        <f t="shared" si="5"/>
        <v>1.9254066684640962</v>
      </c>
      <c r="U19" s="34">
        <f t="shared" si="6"/>
        <v>0.28039902938797517</v>
      </c>
      <c r="V19" s="4">
        <f t="shared" si="7"/>
        <v>5.4829693538240312</v>
      </c>
      <c r="W19" s="123">
        <f t="shared" si="0"/>
        <v>0</v>
      </c>
      <c r="X19" s="4">
        <f t="shared" si="8"/>
        <v>5.4829693538240312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21.931877415296125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7</v>
      </c>
      <c r="H20" s="21"/>
      <c r="I20" s="21">
        <f>Konvention_1slave-GEslave</f>
        <v>7</v>
      </c>
      <c r="J20" s="21"/>
      <c r="K20" s="22"/>
      <c r="L20" s="27">
        <f>(D20+E20+F20+G20+H20+I20+J20+K20)/3</f>
        <v>6.333333333333333</v>
      </c>
      <c r="M20" s="27">
        <f t="shared" si="1"/>
        <v>12.666666666666666</v>
      </c>
      <c r="N20" s="32">
        <f t="shared" si="2"/>
        <v>19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3072</v>
      </c>
      <c r="P20" s="11">
        <f>E20*G20*GEslave+E20*CHslave*I20+KLslave*G20*I20</f>
        <v>1526</v>
      </c>
      <c r="Q20" s="22">
        <f t="shared" si="3"/>
        <v>245</v>
      </c>
      <c r="R20" s="20">
        <f t="shared" si="10"/>
        <v>4843</v>
      </c>
      <c r="S20" s="33">
        <f t="shared" si="4"/>
        <v>4.0173446211026222</v>
      </c>
      <c r="T20" s="26">
        <f t="shared" si="5"/>
        <v>3.9911900337256521</v>
      </c>
      <c r="U20" s="34">
        <f t="shared" si="6"/>
        <v>0.96118108610365471</v>
      </c>
      <c r="V20" s="4">
        <f t="shared" si="7"/>
        <v>8.9697157409319281</v>
      </c>
      <c r="W20" s="123">
        <f t="shared" si="0"/>
        <v>0</v>
      </c>
      <c r="X20" s="4">
        <f t="shared" si="8"/>
        <v>8.9697157409319281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8.9697157409319281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6</v>
      </c>
      <c r="I21" s="21">
        <f>Konvention_1slave-GEslave</f>
        <v>7</v>
      </c>
      <c r="J21" s="21"/>
      <c r="K21" s="22"/>
      <c r="L21" s="27">
        <f>(D21+E21+F21+G21+H21+I21+J21+K21)/3</f>
        <v>6</v>
      </c>
      <c r="M21" s="27">
        <f t="shared" si="1"/>
        <v>12</v>
      </c>
      <c r="N21" s="32">
        <f t="shared" si="2"/>
        <v>18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3062</v>
      </c>
      <c r="P21" s="11">
        <f>D21*H21*GEslave+D21*FFslave*I21+MUslave*H21*I21</f>
        <v>1403</v>
      </c>
      <c r="Q21" s="22">
        <f t="shared" si="3"/>
        <v>210</v>
      </c>
      <c r="R21" s="20">
        <f t="shared" si="10"/>
        <v>4675</v>
      </c>
      <c r="S21" s="33">
        <f t="shared" si="4"/>
        <v>3.9298395721925132</v>
      </c>
      <c r="T21" s="26">
        <f t="shared" si="5"/>
        <v>3.6012834224598929</v>
      </c>
      <c r="U21" s="34">
        <f t="shared" si="6"/>
        <v>0.80855614973262036</v>
      </c>
      <c r="V21" s="4">
        <f t="shared" si="7"/>
        <v>8.3396791443850269</v>
      </c>
      <c r="W21" s="123">
        <f t="shared" si="0"/>
        <v>0</v>
      </c>
      <c r="X21" s="4">
        <f t="shared" si="8"/>
        <v>8.3396791443850269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16.679358288770054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4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5.333333333333333</v>
      </c>
      <c r="M22" s="27">
        <f t="shared" si="1"/>
        <v>10.666666666666666</v>
      </c>
      <c r="N22" s="32">
        <f t="shared" si="2"/>
        <v>16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3042</v>
      </c>
      <c r="P22" s="11">
        <f>D22*F22*GEslave+D22*INslave*I22+MUslave*F22*I22</f>
        <v>1157</v>
      </c>
      <c r="Q22" s="22">
        <f t="shared" si="3"/>
        <v>140</v>
      </c>
      <c r="R22" s="20">
        <f t="shared" si="10"/>
        <v>4339</v>
      </c>
      <c r="S22" s="33">
        <f t="shared" si="4"/>
        <v>3.739110394100023</v>
      </c>
      <c r="T22" s="26">
        <f t="shared" si="5"/>
        <v>2.8442805561957436</v>
      </c>
      <c r="U22" s="34">
        <f t="shared" si="6"/>
        <v>0.51624798340631484</v>
      </c>
      <c r="V22" s="4">
        <f t="shared" si="7"/>
        <v>7.0996389337020815</v>
      </c>
      <c r="W22" s="123">
        <f t="shared" si="0"/>
        <v>0</v>
      </c>
      <c r="X22" s="4">
        <f t="shared" si="8"/>
        <v>7.0996389337020815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21.298916801106245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11</v>
      </c>
      <c r="L23" s="25">
        <f>(D23+E23+F23+G23+H23+I23+J23+K23)/3</f>
        <v>7.333333333333333</v>
      </c>
      <c r="M23" s="25">
        <f t="shared" si="1"/>
        <v>14.666666666666666</v>
      </c>
      <c r="N23" s="36">
        <f t="shared" si="2"/>
        <v>22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3194</v>
      </c>
      <c r="P23" s="19">
        <f>E23*J23*KKslave+E23*KOslave*K23+KLslave*J23*K23</f>
        <v>1879</v>
      </c>
      <c r="Q23" s="23">
        <f t="shared" si="3"/>
        <v>330</v>
      </c>
      <c r="R23" s="24">
        <f>SUM(O23:Q23)</f>
        <v>5403</v>
      </c>
      <c r="S23" s="37">
        <f t="shared" si="4"/>
        <v>4.3351224628292915</v>
      </c>
      <c r="T23" s="25">
        <f t="shared" si="5"/>
        <v>5.1006231106175575</v>
      </c>
      <c r="U23" s="38">
        <f t="shared" si="6"/>
        <v>1.3436979455857856</v>
      </c>
      <c r="V23" s="5">
        <f t="shared" si="7"/>
        <v>10.779443519032634</v>
      </c>
      <c r="W23" s="123">
        <f t="shared" si="0"/>
        <v>0</v>
      </c>
      <c r="X23" s="5">
        <f t="shared" si="8"/>
        <v>10.779443519032634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10.779443519032634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5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5.666666666666667</v>
      </c>
      <c r="M25" s="27">
        <f t="shared" si="1"/>
        <v>11.333333333333334</v>
      </c>
      <c r="N25" s="28">
        <f t="shared" si="2"/>
        <v>17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3052</v>
      </c>
      <c r="P25" s="11">
        <f>D25*E25*CHslave+D25*KLslave*G25+MUslave*E25*G25</f>
        <v>1280</v>
      </c>
      <c r="Q25" s="62">
        <f t="shared" si="3"/>
        <v>175</v>
      </c>
      <c r="R25" s="60">
        <f>SUM(O25:Q25)</f>
        <v>4507</v>
      </c>
      <c r="S25" s="29">
        <f t="shared" si="4"/>
        <v>3.8372901412617413</v>
      </c>
      <c r="T25" s="30">
        <f t="shared" si="5"/>
        <v>3.2186968419495603</v>
      </c>
      <c r="U25" s="31">
        <f t="shared" si="6"/>
        <v>0.66008431329043715</v>
      </c>
      <c r="V25" s="12">
        <f t="shared" si="7"/>
        <v>7.7160712965017391</v>
      </c>
      <c r="W25" s="123">
        <f t="shared" ref="W25:W33" si="12">Istwerte</f>
        <v>0</v>
      </c>
      <c r="X25" s="3">
        <f t="shared" si="8"/>
        <v>7.7160712965017391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15.432142593003478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1"/>
        <v>12.666666666666666</v>
      </c>
      <c r="N26" s="32">
        <f t="shared" si="2"/>
        <v>19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3072</v>
      </c>
      <c r="P26" s="11">
        <f>D26*G26*CHslave+D26*CHslave*G26+MUslave*G26*G26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3">SUM(O26:Q26)</f>
        <v>4843</v>
      </c>
      <c r="S26" s="33">
        <f t="shared" si="4"/>
        <v>4.0173446211026222</v>
      </c>
      <c r="T26" s="26">
        <f t="shared" si="5"/>
        <v>3.9911900337256521</v>
      </c>
      <c r="U26" s="34">
        <f t="shared" si="6"/>
        <v>0.96118108610365471</v>
      </c>
      <c r="V26" s="13">
        <f t="shared" si="7"/>
        <v>8.9697157409319281</v>
      </c>
      <c r="W26" s="123">
        <f t="shared" si="12"/>
        <v>0</v>
      </c>
      <c r="X26" s="4">
        <f t="shared" si="8"/>
        <v>8.9697157409319281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4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5.333333333333333</v>
      </c>
      <c r="M27" s="27">
        <f t="shared" si="1"/>
        <v>10.666666666666666</v>
      </c>
      <c r="N27" s="32">
        <f t="shared" si="2"/>
        <v>16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3042</v>
      </c>
      <c r="P27" s="11">
        <f>D27*F27*CHslave+D27*INslave*G27+MUslave*F27*G27</f>
        <v>1157</v>
      </c>
      <c r="Q27" s="22">
        <f t="shared" si="3"/>
        <v>140</v>
      </c>
      <c r="R27" s="20">
        <f t="shared" si="13"/>
        <v>4339</v>
      </c>
      <c r="S27" s="33">
        <f t="shared" si="4"/>
        <v>3.739110394100023</v>
      </c>
      <c r="T27" s="26">
        <f t="shared" si="5"/>
        <v>2.8442805561957436</v>
      </c>
      <c r="U27" s="34">
        <f t="shared" si="6"/>
        <v>0.51624798340631484</v>
      </c>
      <c r="V27" s="13">
        <f t="shared" si="7"/>
        <v>7.0996389337020815</v>
      </c>
      <c r="W27" s="123">
        <f t="shared" si="12"/>
        <v>0</v>
      </c>
      <c r="X27" s="4">
        <f t="shared" si="8"/>
        <v>7.0996389337020815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14.199277867404163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4</v>
      </c>
      <c r="G28" s="21">
        <f t="shared" si="11"/>
        <v>7</v>
      </c>
      <c r="H28" s="21"/>
      <c r="I28" s="21"/>
      <c r="J28" s="21"/>
      <c r="K28" s="22"/>
      <c r="L28" s="27">
        <f t="shared" si="15"/>
        <v>5.333333333333333</v>
      </c>
      <c r="M28" s="27">
        <f t="shared" si="1"/>
        <v>10.666666666666666</v>
      </c>
      <c r="N28" s="32">
        <f t="shared" si="2"/>
        <v>16</v>
      </c>
      <c r="O28" s="11">
        <f t="shared" si="16"/>
        <v>3042</v>
      </c>
      <c r="P28" s="11">
        <f>E28*F28*CHslave+E28*INslave*G28+KLslave*F28*G28</f>
        <v>1157</v>
      </c>
      <c r="Q28" s="22">
        <f t="shared" si="3"/>
        <v>140</v>
      </c>
      <c r="R28" s="20">
        <f t="shared" si="13"/>
        <v>4339</v>
      </c>
      <c r="S28" s="33">
        <f t="shared" si="4"/>
        <v>3.739110394100023</v>
      </c>
      <c r="T28" s="26">
        <f t="shared" si="5"/>
        <v>2.8442805561957436</v>
      </c>
      <c r="U28" s="34">
        <f t="shared" si="6"/>
        <v>0.51624798340631484</v>
      </c>
      <c r="V28" s="13">
        <f t="shared" si="7"/>
        <v>7.0996389337020815</v>
      </c>
      <c r="W28" s="123">
        <f t="shared" si="12"/>
        <v>0</v>
      </c>
      <c r="X28" s="4">
        <f t="shared" si="8"/>
        <v>7.0996389337020815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14.199277867404163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4</v>
      </c>
      <c r="G29" s="21">
        <f t="shared" si="11"/>
        <v>7</v>
      </c>
      <c r="H29" s="21"/>
      <c r="I29" s="21"/>
      <c r="J29" s="21"/>
      <c r="K29" s="22"/>
      <c r="L29" s="27">
        <f t="shared" si="15"/>
        <v>5.333333333333333</v>
      </c>
      <c r="M29" s="27">
        <f t="shared" si="1"/>
        <v>10.666666666666666</v>
      </c>
      <c r="N29" s="32">
        <f t="shared" si="2"/>
        <v>16</v>
      </c>
      <c r="O29" s="11">
        <f t="shared" si="16"/>
        <v>3042</v>
      </c>
      <c r="P29" s="11">
        <f>E29*F29*CHslave+E29*INslave*G29+KLslave*F29*G29</f>
        <v>1157</v>
      </c>
      <c r="Q29" s="22">
        <f t="shared" si="3"/>
        <v>140</v>
      </c>
      <c r="R29" s="20">
        <f t="shared" si="13"/>
        <v>4339</v>
      </c>
      <c r="S29" s="33">
        <f t="shared" si="4"/>
        <v>3.739110394100023</v>
      </c>
      <c r="T29" s="26">
        <f t="shared" si="5"/>
        <v>2.8442805561957436</v>
      </c>
      <c r="U29" s="34">
        <f t="shared" si="6"/>
        <v>0.51624798340631484</v>
      </c>
      <c r="V29" s="13">
        <f t="shared" si="7"/>
        <v>7.0996389337020815</v>
      </c>
      <c r="W29" s="123">
        <f t="shared" si="12"/>
        <v>0</v>
      </c>
      <c r="X29" s="4">
        <f t="shared" si="8"/>
        <v>7.0996389337020815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21.298916801106245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4</v>
      </c>
      <c r="G30" s="21">
        <f t="shared" si="11"/>
        <v>7</v>
      </c>
      <c r="H30" s="21"/>
      <c r="I30" s="21"/>
      <c r="J30" s="21"/>
      <c r="K30" s="22"/>
      <c r="L30" s="27">
        <f t="shared" si="15"/>
        <v>5.333333333333333</v>
      </c>
      <c r="M30" s="27">
        <f t="shared" si="1"/>
        <v>10.666666666666666</v>
      </c>
      <c r="N30" s="32">
        <f t="shared" si="2"/>
        <v>16</v>
      </c>
      <c r="O30" s="11">
        <f t="shared" si="16"/>
        <v>3042</v>
      </c>
      <c r="P30" s="11">
        <f>E30*F30*CHslave+E30*INslave*G30+KLslave*F30*G30</f>
        <v>1157</v>
      </c>
      <c r="Q30" s="22">
        <f t="shared" si="3"/>
        <v>140</v>
      </c>
      <c r="R30" s="20">
        <f t="shared" si="13"/>
        <v>4339</v>
      </c>
      <c r="S30" s="33">
        <f t="shared" si="4"/>
        <v>3.739110394100023</v>
      </c>
      <c r="T30" s="26">
        <f t="shared" si="5"/>
        <v>2.8442805561957436</v>
      </c>
      <c r="U30" s="34">
        <f t="shared" si="6"/>
        <v>0.51624798340631484</v>
      </c>
      <c r="V30" s="13">
        <f t="shared" si="7"/>
        <v>7.0996389337020815</v>
      </c>
      <c r="W30" s="123">
        <f t="shared" si="12"/>
        <v>0</v>
      </c>
      <c r="X30" s="4">
        <f t="shared" si="8"/>
        <v>7.0996389337020815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21.298916801106245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4</v>
      </c>
      <c r="G31" s="21">
        <f t="shared" si="11"/>
        <v>7</v>
      </c>
      <c r="H31" s="21"/>
      <c r="I31" s="21"/>
      <c r="J31" s="21"/>
      <c r="K31" s="22"/>
      <c r="L31" s="27">
        <f t="shared" si="15"/>
        <v>5.333333333333333</v>
      </c>
      <c r="M31" s="27">
        <f t="shared" si="1"/>
        <v>10.666666666666666</v>
      </c>
      <c r="N31" s="32">
        <f t="shared" si="2"/>
        <v>16</v>
      </c>
      <c r="O31" s="11">
        <f t="shared" si="16"/>
        <v>3042</v>
      </c>
      <c r="P31" s="11">
        <f>D31*F31*CHslave+D31*INslave*G31+MUslave*F31*G31</f>
        <v>1157</v>
      </c>
      <c r="Q31" s="22">
        <f t="shared" si="3"/>
        <v>140</v>
      </c>
      <c r="R31" s="20">
        <f t="shared" si="13"/>
        <v>4339</v>
      </c>
      <c r="S31" s="33">
        <f t="shared" si="4"/>
        <v>3.739110394100023</v>
      </c>
      <c r="T31" s="26">
        <f t="shared" si="5"/>
        <v>2.8442805561957436</v>
      </c>
      <c r="U31" s="34">
        <f t="shared" si="6"/>
        <v>0.51624798340631484</v>
      </c>
      <c r="V31" s="13">
        <f t="shared" si="7"/>
        <v>7.0996389337020815</v>
      </c>
      <c r="W31" s="123">
        <f t="shared" si="12"/>
        <v>0</v>
      </c>
      <c r="X31" s="4">
        <f t="shared" si="8"/>
        <v>7.0996389337020815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21.298916801106245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4</v>
      </c>
      <c r="G32" s="21">
        <f t="shared" si="11"/>
        <v>7</v>
      </c>
      <c r="H32" s="21"/>
      <c r="I32" s="21">
        <f>Konvention_1slave-GEslave</f>
        <v>7</v>
      </c>
      <c r="J32" s="21"/>
      <c r="K32" s="22"/>
      <c r="L32" s="27">
        <f t="shared" si="15"/>
        <v>6</v>
      </c>
      <c r="M32" s="27">
        <f t="shared" si="1"/>
        <v>12</v>
      </c>
      <c r="N32" s="32">
        <f t="shared" si="2"/>
        <v>18</v>
      </c>
      <c r="O32" s="11">
        <f t="shared" si="16"/>
        <v>3096</v>
      </c>
      <c r="P32" s="11">
        <f>F32*G32*GEslave+F32*CHslave*I32+INslave*G32*I32</f>
        <v>1407</v>
      </c>
      <c r="Q32" s="22">
        <f t="shared" si="3"/>
        <v>196</v>
      </c>
      <c r="R32" s="20">
        <f t="shared" si="13"/>
        <v>4699</v>
      </c>
      <c r="S32" s="33">
        <f t="shared" si="4"/>
        <v>3.9531815279846776</v>
      </c>
      <c r="T32" s="26">
        <f t="shared" si="5"/>
        <v>3.5931049159395618</v>
      </c>
      <c r="U32" s="34">
        <f t="shared" si="6"/>
        <v>0.75079804213662482</v>
      </c>
      <c r="V32" s="13">
        <f t="shared" si="7"/>
        <v>8.2970844860608644</v>
      </c>
      <c r="W32" s="123">
        <f t="shared" si="12"/>
        <v>0</v>
      </c>
      <c r="X32" s="4">
        <f t="shared" si="8"/>
        <v>8.2970844860608644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16.594168972121729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4</v>
      </c>
      <c r="G33" s="19">
        <f t="shared" si="11"/>
        <v>7</v>
      </c>
      <c r="H33" s="19"/>
      <c r="I33" s="19"/>
      <c r="J33" s="19"/>
      <c r="K33" s="23"/>
      <c r="L33" s="37">
        <f t="shared" si="15"/>
        <v>5.333333333333333</v>
      </c>
      <c r="M33" s="25">
        <f t="shared" si="1"/>
        <v>10.666666666666666</v>
      </c>
      <c r="N33" s="36">
        <f t="shared" si="2"/>
        <v>16</v>
      </c>
      <c r="O33" s="19">
        <f t="shared" si="16"/>
        <v>3042</v>
      </c>
      <c r="P33" s="19">
        <f>D33*F33*CHslave+D33*INslave*G33+MUslave*F33*G33</f>
        <v>1157</v>
      </c>
      <c r="Q33" s="23">
        <f t="shared" si="3"/>
        <v>140</v>
      </c>
      <c r="R33" s="24">
        <f>SUM(O33:Q33)</f>
        <v>4339</v>
      </c>
      <c r="S33" s="37">
        <f t="shared" si="4"/>
        <v>3.739110394100023</v>
      </c>
      <c r="T33" s="25">
        <f t="shared" si="5"/>
        <v>2.8442805561957436</v>
      </c>
      <c r="U33" s="38">
        <f t="shared" si="6"/>
        <v>0.51624798340631484</v>
      </c>
      <c r="V33" s="14">
        <f t="shared" si="7"/>
        <v>7.0996389337020815</v>
      </c>
      <c r="W33" s="123">
        <f t="shared" si="12"/>
        <v>0</v>
      </c>
      <c r="X33" s="5">
        <f t="shared" si="8"/>
        <v>7.0996389337020815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28.398555734808326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4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5.333333333333333</v>
      </c>
      <c r="M35" s="27">
        <f t="shared" si="1"/>
        <v>10.666666666666666</v>
      </c>
      <c r="N35" s="28">
        <f t="shared" si="2"/>
        <v>16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3042</v>
      </c>
      <c r="P35" s="11">
        <f>D35*F35*GEslave+D35*INslave*I35+MUslave*F35*I35</f>
        <v>1157</v>
      </c>
      <c r="Q35" s="62">
        <f t="shared" si="3"/>
        <v>140</v>
      </c>
      <c r="R35" s="60">
        <f t="shared" ref="R35:R41" si="17">SUM(O35:Q35)</f>
        <v>4339</v>
      </c>
      <c r="S35" s="29">
        <f t="shared" si="4"/>
        <v>3.739110394100023</v>
      </c>
      <c r="T35" s="30">
        <f t="shared" si="5"/>
        <v>2.8442805561957436</v>
      </c>
      <c r="U35" s="31">
        <f t="shared" si="6"/>
        <v>0.51624798340631484</v>
      </c>
      <c r="V35" s="12">
        <f t="shared" si="7"/>
        <v>7.0996389337020815</v>
      </c>
      <c r="W35" s="123">
        <f t="shared" ref="W35:W41" si="18">Istwerte</f>
        <v>0</v>
      </c>
      <c r="X35" s="3">
        <f t="shared" si="8"/>
        <v>7.0996389337020815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21.298916801106245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11</v>
      </c>
      <c r="L36" s="27">
        <f>(D36+E36+F36+G36+H36+I36+J36+K36)/3</f>
        <v>7.333333333333333</v>
      </c>
      <c r="M36" s="27">
        <f t="shared" si="1"/>
        <v>14.666666666666666</v>
      </c>
      <c r="N36" s="32">
        <f t="shared" si="2"/>
        <v>22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3194</v>
      </c>
      <c r="P36" s="11">
        <f>E36*H36*KKslave+E36*FFslave*K36+KLslave*H36*K36</f>
        <v>1879</v>
      </c>
      <c r="Q36" s="22">
        <f t="shared" si="3"/>
        <v>330</v>
      </c>
      <c r="R36" s="20">
        <f t="shared" si="17"/>
        <v>5403</v>
      </c>
      <c r="S36" s="33">
        <f t="shared" si="4"/>
        <v>4.3351224628292915</v>
      </c>
      <c r="T36" s="26">
        <f t="shared" si="5"/>
        <v>5.1006231106175575</v>
      </c>
      <c r="U36" s="34">
        <f t="shared" si="6"/>
        <v>1.3436979455857856</v>
      </c>
      <c r="V36" s="13">
        <f t="shared" si="7"/>
        <v>10.779443519032634</v>
      </c>
      <c r="W36" s="123">
        <f t="shared" si="18"/>
        <v>0</v>
      </c>
      <c r="X36" s="4">
        <f t="shared" si="8"/>
        <v>10.779443519032634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10.779443519032634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7</v>
      </c>
      <c r="J37" s="21">
        <f>Konvention_1slave-KOslave</f>
        <v>6</v>
      </c>
      <c r="K37" s="22"/>
      <c r="L37" s="27">
        <f>(D37+E37+F37+G37+H37+I37+J37+K37)/3</f>
        <v>6.333333333333333</v>
      </c>
      <c r="M37" s="27">
        <f t="shared" si="1"/>
        <v>12.666666666666666</v>
      </c>
      <c r="N37" s="32">
        <f t="shared" si="2"/>
        <v>19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3055</v>
      </c>
      <c r="P37" s="11">
        <f>H37*I37*KOslave+H37*GEslave*J37+FFslave*I37*J37</f>
        <v>1524</v>
      </c>
      <c r="Q37" s="22">
        <f t="shared" si="3"/>
        <v>252</v>
      </c>
      <c r="R37" s="20">
        <f t="shared" si="17"/>
        <v>4831</v>
      </c>
      <c r="S37" s="33">
        <f t="shared" si="4"/>
        <v>4.0050369143724556</v>
      </c>
      <c r="T37" s="26">
        <f t="shared" si="5"/>
        <v>3.9958600703788036</v>
      </c>
      <c r="U37" s="34">
        <f t="shared" si="6"/>
        <v>0.99109915131442761</v>
      </c>
      <c r="V37" s="13">
        <f t="shared" si="7"/>
        <v>8.991996136065687</v>
      </c>
      <c r="W37" s="123">
        <f t="shared" si="18"/>
        <v>0</v>
      </c>
      <c r="X37" s="4">
        <f t="shared" si="8"/>
        <v>8.991996136065687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8.991996136065687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4</v>
      </c>
      <c r="G38" s="21"/>
      <c r="H38" s="21"/>
      <c r="I38" s="21"/>
      <c r="J38" s="21"/>
      <c r="K38" s="22"/>
      <c r="L38" s="27">
        <f>(E38+F38+F38)/3</f>
        <v>4.333333333333333</v>
      </c>
      <c r="M38" s="27">
        <f t="shared" si="1"/>
        <v>8.6666666666666661</v>
      </c>
      <c r="N38" s="32">
        <f t="shared" si="2"/>
        <v>13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2805</v>
      </c>
      <c r="P38" s="11">
        <f>E38*F38*INslave+E38*INslave*F38+KLslave*F38*F38</f>
        <v>824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80</v>
      </c>
      <c r="R38" s="20">
        <f t="shared" si="17"/>
        <v>3709</v>
      </c>
      <c r="S38" s="33">
        <f t="shared" si="4"/>
        <v>3.2771636559719601</v>
      </c>
      <c r="T38" s="26">
        <f t="shared" si="5"/>
        <v>1.9254066684640962</v>
      </c>
      <c r="U38" s="34">
        <f t="shared" si="6"/>
        <v>0.28039902938797517</v>
      </c>
      <c r="V38" s="13">
        <f t="shared" si="7"/>
        <v>5.4829693538240312</v>
      </c>
      <c r="W38" s="123">
        <f t="shared" si="18"/>
        <v>0</v>
      </c>
      <c r="X38" s="4">
        <f t="shared" si="8"/>
        <v>5.4829693538240312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10.965938707648062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6</v>
      </c>
      <c r="I39" s="21"/>
      <c r="J39" s="21">
        <f>Konvention_1slave-KOslave</f>
        <v>6</v>
      </c>
      <c r="K39" s="22"/>
      <c r="L39" s="27">
        <f>(D39+E39+F39+G39+H39+I39+J39+K39)/3</f>
        <v>5.666666666666667</v>
      </c>
      <c r="M39" s="27">
        <f t="shared" si="1"/>
        <v>11.333333333333334</v>
      </c>
      <c r="N39" s="32">
        <f t="shared" si="2"/>
        <v>17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3029</v>
      </c>
      <c r="P39" s="11">
        <f>E39*H39*KOslave+E39*FFslave*J39+KLslave*H39*J39</f>
        <v>1284</v>
      </c>
      <c r="Q39" s="22">
        <f>IFERROR(D39^SIGN(D39),1)*IFERROR(E39^SIGN(E39),1)*IFERROR(F39^SIGN(F39),1)*IFERROR(G39^SIGN(G39),1)*IFERROR(H39^SIGN(H39),1)*IFERROR(I39^SIGN(I39),1)*IFERROR(J39^SIGN(J39),1)*IFERROR(K39^SIGN(K39),1)</f>
        <v>180</v>
      </c>
      <c r="R39" s="20">
        <f t="shared" si="17"/>
        <v>4493</v>
      </c>
      <c r="S39" s="33">
        <f t="shared" si="4"/>
        <v>3.8202388901253808</v>
      </c>
      <c r="T39" s="26">
        <f t="shared" si="5"/>
        <v>3.2388159359002895</v>
      </c>
      <c r="U39" s="34">
        <f t="shared" si="6"/>
        <v>0.68105942577342538</v>
      </c>
      <c r="V39" s="13">
        <f t="shared" si="7"/>
        <v>7.7401142517990964</v>
      </c>
      <c r="W39" s="123">
        <f t="shared" si="18"/>
        <v>0</v>
      </c>
      <c r="X39" s="4">
        <f t="shared" si="8"/>
        <v>7.7401142517990964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23.22034275539729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1"/>
        <v>11.333333333333334</v>
      </c>
      <c r="N40" s="32">
        <f t="shared" si="2"/>
        <v>17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3052</v>
      </c>
      <c r="P40" s="11">
        <f>D40*D40*CHslave+D40*MUslave*G40+MUslave*D40*G40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7"/>
        <v>4507</v>
      </c>
      <c r="S40" s="33">
        <f t="shared" si="4"/>
        <v>3.8372901412617413</v>
      </c>
      <c r="T40" s="26">
        <f t="shared" si="5"/>
        <v>3.2186968419495603</v>
      </c>
      <c r="U40" s="34">
        <f t="shared" si="6"/>
        <v>0.66008431329043715</v>
      </c>
      <c r="V40" s="13">
        <f t="shared" si="7"/>
        <v>7.7160712965017391</v>
      </c>
      <c r="W40" s="123">
        <f t="shared" si="18"/>
        <v>0</v>
      </c>
      <c r="X40" s="4">
        <f t="shared" si="8"/>
        <v>7.7160712965017391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6</v>
      </c>
      <c r="K41" s="23"/>
      <c r="L41" s="37">
        <f>(D41+E41+F41+G41+H41+I41+J41+K41)/3</f>
        <v>6</v>
      </c>
      <c r="M41" s="25">
        <f t="shared" si="1"/>
        <v>12</v>
      </c>
      <c r="N41" s="36">
        <f t="shared" si="2"/>
        <v>18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3062</v>
      </c>
      <c r="P41" s="19">
        <f>D41*I41*KOslave+D41*GEslave*J41+MUslave*I41*J41</f>
        <v>1403</v>
      </c>
      <c r="Q41" s="23">
        <f t="shared" si="3"/>
        <v>210</v>
      </c>
      <c r="R41" s="24">
        <f t="shared" si="17"/>
        <v>4675</v>
      </c>
      <c r="S41" s="37">
        <f t="shared" si="4"/>
        <v>3.9298395721925132</v>
      </c>
      <c r="T41" s="25">
        <f t="shared" si="5"/>
        <v>3.6012834224598929</v>
      </c>
      <c r="U41" s="38">
        <f t="shared" si="6"/>
        <v>0.80855614973262036</v>
      </c>
      <c r="V41" s="14">
        <f t="shared" si="7"/>
        <v>8.3396791443850269</v>
      </c>
      <c r="W41" s="123">
        <f t="shared" si="18"/>
        <v>0</v>
      </c>
      <c r="X41" s="5">
        <f t="shared" si="8"/>
        <v>8.3396791443850269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25.019037433155081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4</v>
      </c>
      <c r="G43" s="61"/>
      <c r="H43" s="61"/>
      <c r="I43" s="61"/>
      <c r="J43" s="61"/>
      <c r="K43" s="62"/>
      <c r="L43" s="27">
        <f>(E43+E43+F43)/3</f>
        <v>4.666666666666667</v>
      </c>
      <c r="M43" s="27">
        <f t="shared" si="1"/>
        <v>9.3333333333333339</v>
      </c>
      <c r="N43" s="28">
        <f t="shared" si="2"/>
        <v>14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2884</v>
      </c>
      <c r="P43" s="11">
        <f>E43*E43*INslave+E43*KLslave*F43+KLslave*E43*F43</f>
        <v>935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100</v>
      </c>
      <c r="R43" s="60">
        <f>SUM(O43:Q43)</f>
        <v>3919</v>
      </c>
      <c r="S43" s="29">
        <f t="shared" si="4"/>
        <v>3.4342094071616911</v>
      </c>
      <c r="T43" s="30">
        <f t="shared" si="5"/>
        <v>2.2267585268350771</v>
      </c>
      <c r="U43" s="31">
        <f t="shared" si="6"/>
        <v>0.35723398826231184</v>
      </c>
      <c r="V43" s="12">
        <f t="shared" si="7"/>
        <v>6.0182019222590801</v>
      </c>
      <c r="W43" s="123">
        <f t="shared" ref="W43:W54" si="21">Istwerte</f>
        <v>0</v>
      </c>
      <c r="X43" s="3">
        <f t="shared" si="8"/>
        <v>6.0182019222590801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6.0182019222590801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4</v>
      </c>
      <c r="G44" s="21"/>
      <c r="H44" s="21"/>
      <c r="I44" s="21"/>
      <c r="J44" s="21"/>
      <c r="K44" s="22"/>
      <c r="L44" s="27">
        <f>(E44+E44+F44)/3</f>
        <v>4.666666666666667</v>
      </c>
      <c r="M44" s="27">
        <f t="shared" si="1"/>
        <v>9.3333333333333339</v>
      </c>
      <c r="N44" s="32">
        <f t="shared" si="2"/>
        <v>14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2884</v>
      </c>
      <c r="P44" s="11">
        <f>E44*E44*INslave+E44*KLslave*F44+KLslave*E44*F44</f>
        <v>935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100</v>
      </c>
      <c r="R44" s="20">
        <f t="shared" ref="R44:R53" si="22">SUM(O44:Q44)</f>
        <v>3919</v>
      </c>
      <c r="S44" s="33">
        <f t="shared" si="4"/>
        <v>3.4342094071616911</v>
      </c>
      <c r="T44" s="26">
        <f t="shared" si="5"/>
        <v>2.2267585268350771</v>
      </c>
      <c r="U44" s="34">
        <f t="shared" si="6"/>
        <v>0.35723398826231184</v>
      </c>
      <c r="V44" s="13">
        <f t="shared" si="7"/>
        <v>6.0182019222590801</v>
      </c>
      <c r="W44" s="123">
        <f t="shared" si="21"/>
        <v>0</v>
      </c>
      <c r="X44" s="4">
        <f t="shared" si="8"/>
        <v>6.0182019222590801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12.03640384451816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4</v>
      </c>
      <c r="G45" s="21"/>
      <c r="H45" s="21"/>
      <c r="I45" s="21"/>
      <c r="J45" s="21"/>
      <c r="K45" s="22"/>
      <c r="L45" s="27">
        <f>(E45+E45+F45)/3</f>
        <v>4.666666666666667</v>
      </c>
      <c r="M45" s="27">
        <f t="shared" si="1"/>
        <v>9.3333333333333339</v>
      </c>
      <c r="N45" s="32">
        <f t="shared" si="2"/>
        <v>14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2884</v>
      </c>
      <c r="P45" s="11">
        <f>E45*E45*INslave+E45*KLslave*F45+KLslave*E45*F45</f>
        <v>935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100</v>
      </c>
      <c r="R45" s="20">
        <f t="shared" si="22"/>
        <v>3919</v>
      </c>
      <c r="S45" s="33">
        <f t="shared" si="4"/>
        <v>3.4342094071616911</v>
      </c>
      <c r="T45" s="26">
        <f t="shared" si="5"/>
        <v>2.2267585268350771</v>
      </c>
      <c r="U45" s="34">
        <f t="shared" si="6"/>
        <v>0.35723398826231184</v>
      </c>
      <c r="V45" s="13">
        <f t="shared" si="7"/>
        <v>6.0182019222590801</v>
      </c>
      <c r="W45" s="123">
        <f t="shared" si="21"/>
        <v>0</v>
      </c>
      <c r="X45" s="4">
        <f t="shared" si="8"/>
        <v>6.0182019222590801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12.03640384451816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4</v>
      </c>
      <c r="G46" s="21"/>
      <c r="H46" s="21"/>
      <c r="I46" s="21"/>
      <c r="J46" s="21"/>
      <c r="K46" s="22"/>
      <c r="L46" s="27">
        <f>(E46+E46+F46)/3</f>
        <v>4.666666666666667</v>
      </c>
      <c r="M46" s="27">
        <f t="shared" si="1"/>
        <v>9.3333333333333339</v>
      </c>
      <c r="N46" s="32">
        <f t="shared" si="2"/>
        <v>14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2884</v>
      </c>
      <c r="P46" s="11">
        <f>E46*E46*INslave+E46*KLslave*F46+KLslave*E46*F46</f>
        <v>935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100</v>
      </c>
      <c r="R46" s="20">
        <f t="shared" si="22"/>
        <v>3919</v>
      </c>
      <c r="S46" s="33">
        <f t="shared" si="4"/>
        <v>3.4342094071616911</v>
      </c>
      <c r="T46" s="26">
        <f t="shared" si="5"/>
        <v>2.2267585268350771</v>
      </c>
      <c r="U46" s="34">
        <f t="shared" si="6"/>
        <v>0.35723398826231184</v>
      </c>
      <c r="V46" s="13">
        <f t="shared" si="7"/>
        <v>6.0182019222590801</v>
      </c>
      <c r="W46" s="123">
        <f t="shared" si="21"/>
        <v>0</v>
      </c>
      <c r="X46" s="4">
        <f t="shared" si="8"/>
        <v>6.0182019222590801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12.03640384451816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5</v>
      </c>
      <c r="F47" s="21">
        <f t="shared" si="20"/>
        <v>4</v>
      </c>
      <c r="G47" s="21"/>
      <c r="H47" s="21"/>
      <c r="I47" s="21"/>
      <c r="J47" s="21"/>
      <c r="K47" s="22"/>
      <c r="L47" s="27">
        <f>(D47+E47+F47+G47+H47+I47+J47+K47)/3</f>
        <v>4.666666666666667</v>
      </c>
      <c r="M47" s="27">
        <f t="shared" si="1"/>
        <v>9.3333333333333339</v>
      </c>
      <c r="N47" s="32">
        <f t="shared" si="2"/>
        <v>14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2884</v>
      </c>
      <c r="P47" s="11">
        <f>D47*E47*INslave+D47*KLslave*F47+MUslave*E47*F47</f>
        <v>935</v>
      </c>
      <c r="Q47" s="22">
        <f t="shared" si="3"/>
        <v>100</v>
      </c>
      <c r="R47" s="20">
        <f t="shared" si="22"/>
        <v>3919</v>
      </c>
      <c r="S47" s="33">
        <f t="shared" si="4"/>
        <v>3.4342094071616911</v>
      </c>
      <c r="T47" s="26">
        <f t="shared" si="5"/>
        <v>2.2267585268350771</v>
      </c>
      <c r="U47" s="34">
        <f t="shared" si="6"/>
        <v>0.35723398826231184</v>
      </c>
      <c r="V47" s="13">
        <f t="shared" si="7"/>
        <v>6.0182019222590801</v>
      </c>
      <c r="W47" s="123">
        <f t="shared" si="21"/>
        <v>0</v>
      </c>
      <c r="X47" s="4">
        <f t="shared" si="8"/>
        <v>6.0182019222590801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12.03640384451816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4</v>
      </c>
      <c r="G48" s="21"/>
      <c r="H48" s="21"/>
      <c r="I48" s="21"/>
      <c r="J48" s="21"/>
      <c r="K48" s="22"/>
      <c r="L48" s="27">
        <f>(E48+E48+F48)/3</f>
        <v>4.666666666666667</v>
      </c>
      <c r="M48" s="27">
        <f t="shared" si="1"/>
        <v>9.3333333333333339</v>
      </c>
      <c r="N48" s="32">
        <f t="shared" si="2"/>
        <v>14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2884</v>
      </c>
      <c r="P48" s="11">
        <f>E48*E48*INslave+E48*KLslave*F48+KLslave*E48*F48</f>
        <v>935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100</v>
      </c>
      <c r="R48" s="20">
        <f t="shared" si="22"/>
        <v>3919</v>
      </c>
      <c r="S48" s="33">
        <f t="shared" si="4"/>
        <v>3.4342094071616911</v>
      </c>
      <c r="T48" s="26">
        <f t="shared" si="5"/>
        <v>2.2267585268350771</v>
      </c>
      <c r="U48" s="34">
        <f t="shared" si="6"/>
        <v>0.35723398826231184</v>
      </c>
      <c r="V48" s="13">
        <f t="shared" si="7"/>
        <v>6.0182019222590801</v>
      </c>
      <c r="W48" s="123">
        <f t="shared" si="21"/>
        <v>0</v>
      </c>
      <c r="X48" s="4">
        <f t="shared" si="8"/>
        <v>6.0182019222590801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18.054605766777239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5.333333333333333</v>
      </c>
      <c r="M49" s="27">
        <f t="shared" si="1"/>
        <v>10.666666666666666</v>
      </c>
      <c r="N49" s="32">
        <f t="shared" si="2"/>
        <v>16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2996</v>
      </c>
      <c r="P49" s="11">
        <f>E49*E49*FFslave+E49*KLslave*H49+KLslave*E49*H49</f>
        <v>1165</v>
      </c>
      <c r="Q49" s="22">
        <f t="shared" si="23"/>
        <v>150</v>
      </c>
      <c r="R49" s="20">
        <f t="shared" si="22"/>
        <v>4311</v>
      </c>
      <c r="S49" s="33">
        <f t="shared" si="4"/>
        <v>3.7064872806000153</v>
      </c>
      <c r="T49" s="26">
        <f t="shared" si="5"/>
        <v>2.8825485192917344</v>
      </c>
      <c r="U49" s="34">
        <f t="shared" si="6"/>
        <v>0.55671537926235215</v>
      </c>
      <c r="V49" s="13">
        <f t="shared" si="7"/>
        <v>7.145751179154102</v>
      </c>
      <c r="W49" s="123">
        <f t="shared" si="21"/>
        <v>0</v>
      </c>
      <c r="X49" s="4">
        <f t="shared" si="8"/>
        <v>7.145751179154102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4</v>
      </c>
      <c r="G50" s="21"/>
      <c r="H50" s="21"/>
      <c r="I50" s="21"/>
      <c r="J50" s="21"/>
      <c r="K50" s="22"/>
      <c r="L50" s="27">
        <f>(E50+E50+F50)/3</f>
        <v>4.666666666666667</v>
      </c>
      <c r="M50" s="27">
        <f t="shared" si="1"/>
        <v>9.3333333333333339</v>
      </c>
      <c r="N50" s="32">
        <f t="shared" si="2"/>
        <v>14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2884</v>
      </c>
      <c r="P50" s="11">
        <f>E50*E50*INslave+E50*KLslave*F50+KLslave*E50*F50</f>
        <v>935</v>
      </c>
      <c r="Q50" s="22">
        <f t="shared" si="23"/>
        <v>100</v>
      </c>
      <c r="R50" s="20">
        <f t="shared" si="22"/>
        <v>3919</v>
      </c>
      <c r="S50" s="33">
        <f t="shared" si="4"/>
        <v>3.4342094071616911</v>
      </c>
      <c r="T50" s="26">
        <f t="shared" si="5"/>
        <v>2.2267585268350771</v>
      </c>
      <c r="U50" s="34">
        <f t="shared" si="6"/>
        <v>0.35723398826231184</v>
      </c>
      <c r="V50" s="13">
        <f t="shared" si="7"/>
        <v>6.0182019222590801</v>
      </c>
      <c r="W50" s="123">
        <f t="shared" si="21"/>
        <v>0</v>
      </c>
      <c r="X50" s="4">
        <f t="shared" si="8"/>
        <v>6.0182019222590801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6.0182019222590801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4</v>
      </c>
      <c r="G51" s="21"/>
      <c r="H51" s="21"/>
      <c r="I51" s="21"/>
      <c r="J51" s="21"/>
      <c r="K51" s="22"/>
      <c r="L51" s="27">
        <f>(E51+E51+F51)/3</f>
        <v>4.666666666666667</v>
      </c>
      <c r="M51" s="27">
        <f t="shared" si="1"/>
        <v>9.3333333333333339</v>
      </c>
      <c r="N51" s="32">
        <f t="shared" si="2"/>
        <v>14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2884</v>
      </c>
      <c r="P51" s="11">
        <f>E51*E51*INslave+E51*KLslave*F51+KLslave*E51*F51</f>
        <v>935</v>
      </c>
      <c r="Q51" s="22">
        <f t="shared" si="23"/>
        <v>100</v>
      </c>
      <c r="R51" s="20">
        <f t="shared" si="22"/>
        <v>3919</v>
      </c>
      <c r="S51" s="33">
        <f t="shared" si="4"/>
        <v>3.4342094071616911</v>
      </c>
      <c r="T51" s="26">
        <f t="shared" si="5"/>
        <v>2.2267585268350771</v>
      </c>
      <c r="U51" s="34">
        <f t="shared" si="6"/>
        <v>0.35723398826231184</v>
      </c>
      <c r="V51" s="13">
        <f t="shared" si="7"/>
        <v>6.0182019222590801</v>
      </c>
      <c r="W51" s="123">
        <f t="shared" si="21"/>
        <v>0</v>
      </c>
      <c r="X51" s="4">
        <f t="shared" si="8"/>
        <v>6.0182019222590801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6.0182019222590801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4</v>
      </c>
      <c r="G52" s="21"/>
      <c r="H52" s="21"/>
      <c r="I52" s="21"/>
      <c r="J52" s="21"/>
      <c r="K52" s="22"/>
      <c r="L52" s="27">
        <f>(E52+E52+F52)/3</f>
        <v>4.666666666666667</v>
      </c>
      <c r="M52" s="27">
        <f t="shared" si="1"/>
        <v>9.3333333333333339</v>
      </c>
      <c r="N52" s="32">
        <f t="shared" si="2"/>
        <v>14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2884</v>
      </c>
      <c r="P52" s="11">
        <f>E52*E52*INslave+E52*KLslave*F52+KLslave*E52*F52</f>
        <v>935</v>
      </c>
      <c r="Q52" s="22">
        <f t="shared" si="23"/>
        <v>100</v>
      </c>
      <c r="R52" s="20">
        <f t="shared" si="22"/>
        <v>3919</v>
      </c>
      <c r="S52" s="33">
        <f t="shared" si="4"/>
        <v>3.4342094071616911</v>
      </c>
      <c r="T52" s="26">
        <f t="shared" si="5"/>
        <v>2.2267585268350771</v>
      </c>
      <c r="U52" s="34">
        <f t="shared" si="6"/>
        <v>0.35723398826231184</v>
      </c>
      <c r="V52" s="13">
        <f t="shared" si="7"/>
        <v>6.0182019222590801</v>
      </c>
      <c r="W52" s="123">
        <f t="shared" si="21"/>
        <v>0</v>
      </c>
      <c r="X52" s="4">
        <f t="shared" si="8"/>
        <v>6.0182019222590801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12.03640384451816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4</v>
      </c>
      <c r="G53" s="21"/>
      <c r="H53" s="21"/>
      <c r="I53" s="21"/>
      <c r="J53" s="21"/>
      <c r="K53" s="22"/>
      <c r="L53" s="27">
        <f>(E53+E53+F53)/3</f>
        <v>4.666666666666667</v>
      </c>
      <c r="M53" s="27">
        <f t="shared" si="1"/>
        <v>9.3333333333333339</v>
      </c>
      <c r="N53" s="32">
        <f t="shared" si="2"/>
        <v>14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2884</v>
      </c>
      <c r="P53" s="11">
        <f>E53*E53*INslave+E53*KLslave*F53+KLslave*E53*F53</f>
        <v>935</v>
      </c>
      <c r="Q53" s="22">
        <f t="shared" si="23"/>
        <v>100</v>
      </c>
      <c r="R53" s="20">
        <f t="shared" si="22"/>
        <v>3919</v>
      </c>
      <c r="S53" s="33">
        <f t="shared" si="4"/>
        <v>3.4342094071616911</v>
      </c>
      <c r="T53" s="26">
        <f t="shared" si="5"/>
        <v>2.2267585268350771</v>
      </c>
      <c r="U53" s="34">
        <f t="shared" si="6"/>
        <v>0.35723398826231184</v>
      </c>
      <c r="V53" s="13">
        <f t="shared" si="7"/>
        <v>6.0182019222590801</v>
      </c>
      <c r="W53" s="123">
        <f t="shared" si="21"/>
        <v>0</v>
      </c>
      <c r="X53" s="4">
        <f t="shared" si="8"/>
        <v>6.0182019222590801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12.03640384451816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4</v>
      </c>
      <c r="G54" s="19"/>
      <c r="H54" s="19"/>
      <c r="I54" s="19"/>
      <c r="J54" s="19"/>
      <c r="K54" s="23"/>
      <c r="L54" s="37">
        <f>(E54+E54+F54)/3</f>
        <v>4.666666666666667</v>
      </c>
      <c r="M54" s="25">
        <f t="shared" si="1"/>
        <v>9.3333333333333339</v>
      </c>
      <c r="N54" s="36">
        <f t="shared" si="2"/>
        <v>14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2884</v>
      </c>
      <c r="P54" s="19">
        <f>E54*E54*INslave+E54*KLslave*F54+KLslave*E54*F54</f>
        <v>935</v>
      </c>
      <c r="Q54" s="23">
        <f t="shared" si="23"/>
        <v>100</v>
      </c>
      <c r="R54" s="24">
        <f>SUM(O54:Q54)</f>
        <v>3919</v>
      </c>
      <c r="S54" s="37">
        <f t="shared" si="4"/>
        <v>3.4342094071616911</v>
      </c>
      <c r="T54" s="25">
        <f t="shared" si="5"/>
        <v>2.2267585268350771</v>
      </c>
      <c r="U54" s="38">
        <f t="shared" si="6"/>
        <v>0.35723398826231184</v>
      </c>
      <c r="V54" s="14">
        <f t="shared" si="7"/>
        <v>6.0182019222590801</v>
      </c>
      <c r="W54" s="123">
        <f t="shared" si="21"/>
        <v>0</v>
      </c>
      <c r="X54" s="5">
        <f t="shared" si="8"/>
        <v>6.0182019222590801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6.0182019222590801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5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5.333333333333333</v>
      </c>
      <c r="M56" s="27">
        <f t="shared" si="1"/>
        <v>10.666666666666666</v>
      </c>
      <c r="N56" s="28">
        <f t="shared" si="2"/>
        <v>16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2996</v>
      </c>
      <c r="P56" s="11">
        <f>D56*E56*FFslave+D56*KLslave*H56+MUslave*E56*H56</f>
        <v>1165</v>
      </c>
      <c r="Q56" s="62">
        <f t="shared" si="3"/>
        <v>150</v>
      </c>
      <c r="R56" s="60">
        <f>SUM(O56:Q56)</f>
        <v>4311</v>
      </c>
      <c r="S56" s="29">
        <f t="shared" si="4"/>
        <v>3.7064872806000153</v>
      </c>
      <c r="T56" s="30">
        <f t="shared" si="5"/>
        <v>2.8825485192917344</v>
      </c>
      <c r="U56" s="31">
        <f t="shared" si="6"/>
        <v>0.55671537926235215</v>
      </c>
      <c r="V56" s="12">
        <f t="shared" si="7"/>
        <v>7.145751179154102</v>
      </c>
      <c r="W56" s="123">
        <f t="shared" ref="W56:W72" si="26">Istwerte</f>
        <v>0</v>
      </c>
      <c r="X56" s="3">
        <f t="shared" si="8"/>
        <v>7.145751179154102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21.437253537462304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7</v>
      </c>
      <c r="J57" s="21"/>
      <c r="K57" s="22">
        <f>Konvention_1slave-KKslave</f>
        <v>11</v>
      </c>
      <c r="L57" s="27">
        <f t="shared" si="24"/>
        <v>8</v>
      </c>
      <c r="M57" s="27">
        <f t="shared" si="1"/>
        <v>16</v>
      </c>
      <c r="N57" s="32">
        <f t="shared" si="2"/>
        <v>24</v>
      </c>
      <c r="O57" s="11">
        <f t="shared" si="25"/>
        <v>3020</v>
      </c>
      <c r="P57" s="11">
        <f>H57*I57*KKslave+H57*GEslave*K57+FFslave*I57*K57</f>
        <v>2129</v>
      </c>
      <c r="Q57" s="22">
        <f t="shared" si="3"/>
        <v>462</v>
      </c>
      <c r="R57" s="20">
        <f t="shared" ref="R57:R71" si="27">SUM(O57:Q57)</f>
        <v>5611</v>
      </c>
      <c r="S57" s="33">
        <f t="shared" si="4"/>
        <v>4.3058278381750137</v>
      </c>
      <c r="T57" s="26">
        <f t="shared" si="5"/>
        <v>6.0709320976653007</v>
      </c>
      <c r="U57" s="34">
        <f t="shared" si="6"/>
        <v>1.9761183389770094</v>
      </c>
      <c r="V57" s="13">
        <f t="shared" si="7"/>
        <v>12.352878274817325</v>
      </c>
      <c r="W57" s="123">
        <f t="shared" si="26"/>
        <v>0</v>
      </c>
      <c r="X57" s="4">
        <f t="shared" si="8"/>
        <v>12.352878274817325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25.4115130992693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6</v>
      </c>
      <c r="I58" s="21"/>
      <c r="J58" s="21">
        <f>Konvention_1slave-KOslave</f>
        <v>6</v>
      </c>
      <c r="K58" s="22"/>
      <c r="L58" s="27">
        <f t="shared" si="24"/>
        <v>6.333333333333333</v>
      </c>
      <c r="M58" s="27">
        <f t="shared" si="1"/>
        <v>12.666666666666666</v>
      </c>
      <c r="N58" s="32">
        <f t="shared" si="2"/>
        <v>19</v>
      </c>
      <c r="O58" s="11">
        <f t="shared" si="25"/>
        <v>3055</v>
      </c>
      <c r="P58" s="11">
        <f>G58*H58*KOslave+G58*FFslave*J58+CHslave*H58*J58</f>
        <v>1524</v>
      </c>
      <c r="Q58" s="22">
        <f t="shared" si="3"/>
        <v>252</v>
      </c>
      <c r="R58" s="20">
        <f t="shared" si="27"/>
        <v>4831</v>
      </c>
      <c r="S58" s="33">
        <f t="shared" si="4"/>
        <v>4.0050369143724556</v>
      </c>
      <c r="T58" s="26">
        <f t="shared" si="5"/>
        <v>3.9958600703788036</v>
      </c>
      <c r="U58" s="34">
        <f t="shared" si="6"/>
        <v>0.99109915131442761</v>
      </c>
      <c r="V58" s="13">
        <f t="shared" si="7"/>
        <v>8.991996136065687</v>
      </c>
      <c r="W58" s="123">
        <f t="shared" si="26"/>
        <v>0</v>
      </c>
      <c r="X58" s="4">
        <f t="shared" si="8"/>
        <v>8.991996136065687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8.991996136065687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4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5.333333333333333</v>
      </c>
      <c r="M59" s="27">
        <f t="shared" si="1"/>
        <v>10.666666666666666</v>
      </c>
      <c r="N59" s="32">
        <f t="shared" si="2"/>
        <v>16</v>
      </c>
      <c r="O59" s="11">
        <f t="shared" si="25"/>
        <v>3042</v>
      </c>
      <c r="P59" s="11">
        <f>E59*F59*CHslave+E59*INslave*G59+KLslave*F59*G59</f>
        <v>1157</v>
      </c>
      <c r="Q59" s="22">
        <f t="shared" si="3"/>
        <v>140</v>
      </c>
      <c r="R59" s="20">
        <f t="shared" si="27"/>
        <v>4339</v>
      </c>
      <c r="S59" s="33">
        <f t="shared" si="4"/>
        <v>3.739110394100023</v>
      </c>
      <c r="T59" s="26">
        <f t="shared" si="5"/>
        <v>2.8442805561957436</v>
      </c>
      <c r="U59" s="34">
        <f t="shared" si="6"/>
        <v>0.51624798340631484</v>
      </c>
      <c r="V59" s="13">
        <f t="shared" si="7"/>
        <v>7.0996389337020815</v>
      </c>
      <c r="W59" s="123">
        <f t="shared" si="26"/>
        <v>0</v>
      </c>
      <c r="X59" s="4">
        <f t="shared" si="8"/>
        <v>7.0996389337020815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14.199277867404163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5</v>
      </c>
      <c r="F60" s="21">
        <f>Konvention_1slave-INslave</f>
        <v>4</v>
      </c>
      <c r="G60" s="21"/>
      <c r="H60" s="21"/>
      <c r="I60" s="21"/>
      <c r="J60" s="21"/>
      <c r="K60" s="22"/>
      <c r="L60" s="27">
        <f t="shared" si="24"/>
        <v>4.666666666666667</v>
      </c>
      <c r="M60" s="27">
        <f t="shared" si="1"/>
        <v>9.3333333333333339</v>
      </c>
      <c r="N60" s="32">
        <f t="shared" si="2"/>
        <v>14</v>
      </c>
      <c r="O60" s="11">
        <f t="shared" si="25"/>
        <v>2884</v>
      </c>
      <c r="P60" s="11">
        <f>D60*E60*INslave+D60*KLslave*F60+MUslave*E60*F60</f>
        <v>935</v>
      </c>
      <c r="Q60" s="22">
        <f t="shared" si="3"/>
        <v>100</v>
      </c>
      <c r="R60" s="20">
        <f t="shared" si="27"/>
        <v>3919</v>
      </c>
      <c r="S60" s="33">
        <f t="shared" si="4"/>
        <v>3.4342094071616911</v>
      </c>
      <c r="T60" s="26">
        <f t="shared" si="5"/>
        <v>2.2267585268350771</v>
      </c>
      <c r="U60" s="34">
        <f t="shared" si="6"/>
        <v>0.35723398826231184</v>
      </c>
      <c r="V60" s="13">
        <f t="shared" si="7"/>
        <v>6.0182019222590801</v>
      </c>
      <c r="W60" s="123">
        <f t="shared" si="26"/>
        <v>0</v>
      </c>
      <c r="X60" s="4">
        <f t="shared" si="8"/>
        <v>6.0182019222590801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12.03640384451816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4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</v>
      </c>
      <c r="M61" s="27">
        <f t="shared" si="1"/>
        <v>10</v>
      </c>
      <c r="N61" s="32">
        <f t="shared" si="2"/>
        <v>15</v>
      </c>
      <c r="O61" s="11">
        <f t="shared" si="25"/>
        <v>2963</v>
      </c>
      <c r="P61" s="11">
        <f>D61*F61*KOslave+D61*INslave*J61+MUslave*F61*J61</f>
        <v>1046</v>
      </c>
      <c r="Q61" s="22">
        <f t="shared" si="3"/>
        <v>120</v>
      </c>
      <c r="R61" s="20">
        <f t="shared" si="27"/>
        <v>4129</v>
      </c>
      <c r="S61" s="33">
        <f t="shared" si="4"/>
        <v>3.5880358440300313</v>
      </c>
      <c r="T61" s="26">
        <f t="shared" si="5"/>
        <v>2.5333010414143859</v>
      </c>
      <c r="U61" s="34">
        <f t="shared" si="6"/>
        <v>0.43594090578832645</v>
      </c>
      <c r="V61" s="13">
        <f t="shared" si="7"/>
        <v>6.5572777912327442</v>
      </c>
      <c r="W61" s="123">
        <f t="shared" si="26"/>
        <v>0</v>
      </c>
      <c r="X61" s="4">
        <f t="shared" si="8"/>
        <v>6.5572777912327442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13.114555582465488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4</v>
      </c>
      <c r="G62" s="21">
        <f>Konvention_1slave-CHslave</f>
        <v>7</v>
      </c>
      <c r="H62" s="21"/>
      <c r="I62" s="21"/>
      <c r="J62" s="21">
        <f>Konvention_1slave-KOslave</f>
        <v>6</v>
      </c>
      <c r="K62" s="22"/>
      <c r="L62" s="27">
        <f t="shared" si="24"/>
        <v>5.666666666666667</v>
      </c>
      <c r="M62" s="27">
        <f t="shared" si="1"/>
        <v>11.333333333333334</v>
      </c>
      <c r="N62" s="32">
        <f t="shared" si="2"/>
        <v>17</v>
      </c>
      <c r="O62" s="11">
        <f t="shared" si="25"/>
        <v>3069</v>
      </c>
      <c r="P62" s="11">
        <f>F62*G62*KOslave+F62*CHslave*J62+INslave*G62*J62</f>
        <v>1282</v>
      </c>
      <c r="Q62" s="22">
        <f t="shared" si="3"/>
        <v>168</v>
      </c>
      <c r="R62" s="20">
        <f t="shared" si="27"/>
        <v>4519</v>
      </c>
      <c r="S62" s="33">
        <f t="shared" si="4"/>
        <v>3.8484177915468023</v>
      </c>
      <c r="T62" s="26">
        <f t="shared" si="5"/>
        <v>3.2151655971085051</v>
      </c>
      <c r="U62" s="34">
        <f t="shared" si="6"/>
        <v>0.63199822969683561</v>
      </c>
      <c r="V62" s="13">
        <f t="shared" si="7"/>
        <v>7.6955816183521435</v>
      </c>
      <c r="W62" s="123">
        <f t="shared" si="26"/>
        <v>0</v>
      </c>
      <c r="X62" s="4">
        <f t="shared" si="8"/>
        <v>7.6955816183521435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15.391163236704287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5.666666666666667</v>
      </c>
      <c r="M63" s="27">
        <f t="shared" si="1"/>
        <v>11.333333333333334</v>
      </c>
      <c r="N63" s="32">
        <f t="shared" si="2"/>
        <v>17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3029</v>
      </c>
      <c r="P63" s="11">
        <f>E63*H63*FFslave+E63*FFslave*H63+KLslave*H63*H63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7"/>
        <v>4493</v>
      </c>
      <c r="S63" s="33">
        <f t="shared" si="4"/>
        <v>3.8202388901253808</v>
      </c>
      <c r="T63" s="26">
        <f t="shared" si="5"/>
        <v>3.2388159359002895</v>
      </c>
      <c r="U63" s="34">
        <f t="shared" si="6"/>
        <v>0.68105942577342538</v>
      </c>
      <c r="V63" s="13">
        <f t="shared" si="7"/>
        <v>7.7401142517990964</v>
      </c>
      <c r="W63" s="123">
        <f t="shared" si="26"/>
        <v>0</v>
      </c>
      <c r="X63" s="4">
        <f t="shared" si="8"/>
        <v>7.7401142517990964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7</v>
      </c>
      <c r="J64" s="21"/>
      <c r="K64" s="22">
        <f>Konvention_1slave-KKslave</f>
        <v>11</v>
      </c>
      <c r="L64" s="27">
        <f>(D64+E64+F64+G64+H64+I64+J64+K64)/3</f>
        <v>8</v>
      </c>
      <c r="M64" s="27">
        <f t="shared" si="1"/>
        <v>16</v>
      </c>
      <c r="N64" s="32">
        <f t="shared" si="2"/>
        <v>24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3020</v>
      </c>
      <c r="P64" s="11">
        <f>H64*I64*KKslave+H64*GEslave*K64+FFslave*I64*K64</f>
        <v>2129</v>
      </c>
      <c r="Q64" s="22">
        <f t="shared" si="3"/>
        <v>462</v>
      </c>
      <c r="R64" s="20">
        <f t="shared" si="27"/>
        <v>5611</v>
      </c>
      <c r="S64" s="33">
        <f t="shared" si="4"/>
        <v>4.3058278381750137</v>
      </c>
      <c r="T64" s="26">
        <f t="shared" si="5"/>
        <v>6.0709320976653007</v>
      </c>
      <c r="U64" s="34">
        <f t="shared" si="6"/>
        <v>1.9761183389770094</v>
      </c>
      <c r="V64" s="13">
        <f t="shared" si="7"/>
        <v>12.352878274817325</v>
      </c>
      <c r="W64" s="123">
        <f t="shared" si="26"/>
        <v>0</v>
      </c>
      <c r="X64" s="4">
        <f t="shared" si="8"/>
        <v>12.352878274817325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25.4115130992693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4</v>
      </c>
      <c r="G65" s="21"/>
      <c r="H65" s="21">
        <f t="shared" si="28"/>
        <v>6</v>
      </c>
      <c r="I65" s="21"/>
      <c r="J65" s="21"/>
      <c r="K65" s="22"/>
      <c r="L65" s="27">
        <f>(F65+H65+H65)/3</f>
        <v>5.333333333333333</v>
      </c>
      <c r="M65" s="27">
        <f t="shared" si="1"/>
        <v>10.666666666666666</v>
      </c>
      <c r="N65" s="32">
        <f t="shared" si="2"/>
        <v>16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3016</v>
      </c>
      <c r="P65" s="11">
        <f>F65*H65*FFslave+F65*FFslave*H65+INslave*H65*H65</f>
        <v>1164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144</v>
      </c>
      <c r="R65" s="20">
        <f t="shared" si="27"/>
        <v>4324</v>
      </c>
      <c r="S65" s="33">
        <f t="shared" si="4"/>
        <v>3.7200123342584024</v>
      </c>
      <c r="T65" s="26">
        <f t="shared" si="5"/>
        <v>2.8714153561517115</v>
      </c>
      <c r="U65" s="34">
        <f t="shared" si="6"/>
        <v>0.5328399629972248</v>
      </c>
      <c r="V65" s="13">
        <f t="shared" si="7"/>
        <v>7.1242676534073395</v>
      </c>
      <c r="W65" s="123">
        <f t="shared" si="26"/>
        <v>0</v>
      </c>
      <c r="X65" s="4">
        <f t="shared" si="8"/>
        <v>7.1242676534073395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7.1242676534073395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7</v>
      </c>
      <c r="J66" s="21">
        <f>Konvention_1slave-KOslave</f>
        <v>6</v>
      </c>
      <c r="K66" s="22"/>
      <c r="L66" s="27">
        <f>(D66+E66+F66+G66+H66+I66+J66+K66)/3</f>
        <v>6.333333333333333</v>
      </c>
      <c r="M66" s="27">
        <f t="shared" si="1"/>
        <v>12.666666666666666</v>
      </c>
      <c r="N66" s="32">
        <f t="shared" si="2"/>
        <v>19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3055</v>
      </c>
      <c r="P66" s="11">
        <f>H66*I66*KOslave+H66*GEslave*J66+FFslave*I66*J66</f>
        <v>1524</v>
      </c>
      <c r="Q66" s="22">
        <f t="shared" si="3"/>
        <v>252</v>
      </c>
      <c r="R66" s="20">
        <f t="shared" si="27"/>
        <v>4831</v>
      </c>
      <c r="S66" s="33">
        <f t="shared" si="4"/>
        <v>4.0050369143724556</v>
      </c>
      <c r="T66" s="26">
        <f t="shared" si="5"/>
        <v>3.9958600703788036</v>
      </c>
      <c r="U66" s="34">
        <f t="shared" si="6"/>
        <v>0.99109915131442761</v>
      </c>
      <c r="V66" s="13">
        <f t="shared" si="7"/>
        <v>8.991996136065687</v>
      </c>
      <c r="W66" s="123">
        <f t="shared" si="26"/>
        <v>0</v>
      </c>
      <c r="X66" s="4">
        <f t="shared" si="8"/>
        <v>8.991996136065687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17.983992272131374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4</v>
      </c>
      <c r="G67" s="21"/>
      <c r="H67" s="21">
        <f t="shared" si="28"/>
        <v>6</v>
      </c>
      <c r="I67" s="21"/>
      <c r="J67" s="21"/>
      <c r="K67" s="22"/>
      <c r="L67" s="27">
        <f>(F67+H67+H67)/3</f>
        <v>5.333333333333333</v>
      </c>
      <c r="M67" s="27">
        <f t="shared" si="1"/>
        <v>10.666666666666666</v>
      </c>
      <c r="N67" s="32">
        <f t="shared" si="2"/>
        <v>16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3016</v>
      </c>
      <c r="P67" s="11">
        <f>F67*H67*FFslave+F67*FFslave*H67+INslave*H67*H67</f>
        <v>1164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144</v>
      </c>
      <c r="R67" s="20">
        <f t="shared" si="27"/>
        <v>4324</v>
      </c>
      <c r="S67" s="33">
        <f t="shared" si="4"/>
        <v>3.7200123342584024</v>
      </c>
      <c r="T67" s="26">
        <f t="shared" si="5"/>
        <v>2.8714153561517115</v>
      </c>
      <c r="U67" s="34">
        <f t="shared" si="6"/>
        <v>0.5328399629972248</v>
      </c>
      <c r="V67" s="13">
        <f t="shared" si="7"/>
        <v>7.1242676534073395</v>
      </c>
      <c r="W67" s="123">
        <f t="shared" si="26"/>
        <v>0</v>
      </c>
      <c r="X67" s="4">
        <f t="shared" si="8"/>
        <v>7.1242676534073395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7.1242676534073395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6</v>
      </c>
      <c r="K68" s="22">
        <f>Konvention_1slave-KKslave</f>
        <v>11</v>
      </c>
      <c r="L68" s="27">
        <f>(D68+E68+F68+G68+H68+I68+J68+K68)/3</f>
        <v>7.666666666666667</v>
      </c>
      <c r="M68" s="27">
        <f t="shared" si="1"/>
        <v>15.333333333333334</v>
      </c>
      <c r="N68" s="32">
        <f t="shared" si="2"/>
        <v>23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3107</v>
      </c>
      <c r="P68" s="11">
        <f>H68*J68*KKslave+H68*KOslave*K68+FFslave*J68*K68</f>
        <v>2004</v>
      </c>
      <c r="Q68" s="22">
        <f>IFERROR(D68^SIGN(D68),1)*IFERROR(E68^SIGN(E68),1)*IFERROR(F68^SIGN(F68),1)*IFERROR(G68^SIGN(G68),1)*IFERROR(H68^SIGN(H68),1)*IFERROR(I68^SIGN(I68),1)*IFERROR(J68^SIGN(J68),1)*IFERROR(K68^SIGN(K68),1)</f>
        <v>396</v>
      </c>
      <c r="R68" s="20">
        <f t="shared" si="27"/>
        <v>5507</v>
      </c>
      <c r="S68" s="33">
        <f t="shared" si="4"/>
        <v>4.3254645602566439</v>
      </c>
      <c r="T68" s="26">
        <f t="shared" si="5"/>
        <v>5.5798075177047393</v>
      </c>
      <c r="U68" s="34">
        <f t="shared" si="6"/>
        <v>1.6538950426729617</v>
      </c>
      <c r="V68" s="13">
        <f t="shared" si="7"/>
        <v>11.559167120634346</v>
      </c>
      <c r="W68" s="123">
        <f t="shared" si="26"/>
        <v>0</v>
      </c>
      <c r="X68" s="4">
        <f t="shared" si="8"/>
        <v>11.559167120634346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34.67750136190304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6</v>
      </c>
      <c r="I69" s="21"/>
      <c r="J69" s="21">
        <f>Konvention_1slave-KOslave</f>
        <v>6</v>
      </c>
      <c r="K69" s="22"/>
      <c r="L69" s="27">
        <f>(D69+E69+F69+G69+H69+I69+J69+K69)/3</f>
        <v>6.333333333333333</v>
      </c>
      <c r="M69" s="27">
        <f t="shared" si="1"/>
        <v>12.666666666666666</v>
      </c>
      <c r="N69" s="32">
        <f t="shared" si="2"/>
        <v>19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3055</v>
      </c>
      <c r="P69" s="11">
        <f>G69*H69*KOslave+G69*FFslave*J69+CHslave*H69*J69</f>
        <v>1524</v>
      </c>
      <c r="Q69" s="22">
        <f>IFERROR(D69^SIGN(D69),1)*IFERROR(E69^SIGN(E69),1)*IFERROR(F69^SIGN(F69),1)*IFERROR(G69^SIGN(G69),1)*IFERROR(H69^SIGN(H69),1)*IFERROR(I69^SIGN(I69),1)*IFERROR(J69^SIGN(J69),1)*IFERROR(K69^SIGN(K69),1)</f>
        <v>252</v>
      </c>
      <c r="R69" s="20">
        <f t="shared" si="27"/>
        <v>4831</v>
      </c>
      <c r="S69" s="33">
        <f t="shared" si="4"/>
        <v>4.0050369143724556</v>
      </c>
      <c r="T69" s="26">
        <f t="shared" si="5"/>
        <v>3.9958600703788036</v>
      </c>
      <c r="U69" s="34">
        <f t="shared" si="6"/>
        <v>0.99109915131442761</v>
      </c>
      <c r="V69" s="13">
        <f t="shared" si="7"/>
        <v>8.991996136065687</v>
      </c>
      <c r="W69" s="123">
        <f t="shared" si="26"/>
        <v>0</v>
      </c>
      <c r="X69" s="4">
        <f t="shared" si="8"/>
        <v>8.991996136065687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8.991996136065687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4</v>
      </c>
      <c r="G70" s="21"/>
      <c r="H70" s="21">
        <f t="shared" si="28"/>
        <v>6</v>
      </c>
      <c r="I70" s="21"/>
      <c r="J70" s="21"/>
      <c r="K70" s="22"/>
      <c r="L70" s="27">
        <f>(F70+H70+H70)/3</f>
        <v>5.333333333333333</v>
      </c>
      <c r="M70" s="27">
        <f t="shared" si="1"/>
        <v>10.666666666666666</v>
      </c>
      <c r="N70" s="32">
        <f t="shared" si="2"/>
        <v>16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3016</v>
      </c>
      <c r="P70" s="11">
        <f>F70*H70*FFslave+F70*FFslave*H70+INslave*H70*H70</f>
        <v>1164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144</v>
      </c>
      <c r="R70" s="20">
        <f t="shared" si="27"/>
        <v>4324</v>
      </c>
      <c r="S70" s="33">
        <f t="shared" si="4"/>
        <v>3.7200123342584024</v>
      </c>
      <c r="T70" s="26">
        <f t="shared" si="5"/>
        <v>2.8714153561517115</v>
      </c>
      <c r="U70" s="34">
        <f t="shared" si="6"/>
        <v>0.5328399629972248</v>
      </c>
      <c r="V70" s="13">
        <f t="shared" si="7"/>
        <v>7.1242676534073395</v>
      </c>
      <c r="W70" s="123">
        <f t="shared" si="26"/>
        <v>0</v>
      </c>
      <c r="X70" s="4">
        <f t="shared" si="8"/>
        <v>7.1242676534073395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21.372802960222018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11</v>
      </c>
      <c r="L71" s="27">
        <f>(H71+H71+K71)/3</f>
        <v>7.666666666666667</v>
      </c>
      <c r="M71" s="27">
        <f t="shared" si="1"/>
        <v>15.333333333333334</v>
      </c>
      <c r="N71" s="32">
        <f t="shared" si="2"/>
        <v>23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3107</v>
      </c>
      <c r="P71" s="11">
        <f>H71*H71*KKslave+H71*FFslave*K71+FFslave*H71*K71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7"/>
        <v>5507</v>
      </c>
      <c r="S71" s="33">
        <f t="shared" si="4"/>
        <v>4.3254645602566439</v>
      </c>
      <c r="T71" s="26">
        <f t="shared" si="5"/>
        <v>5.5798075177047393</v>
      </c>
      <c r="U71" s="34">
        <f t="shared" si="6"/>
        <v>1.6538950426729617</v>
      </c>
      <c r="V71" s="13">
        <f t="shared" si="7"/>
        <v>11.559167120634346</v>
      </c>
      <c r="W71" s="123">
        <f t="shared" si="26"/>
        <v>0</v>
      </c>
      <c r="X71" s="4">
        <f t="shared" si="8"/>
        <v>11.559167120634346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5.666666666666667</v>
      </c>
      <c r="M72" s="25">
        <f t="shared" si="1"/>
        <v>11.333333333333334</v>
      </c>
      <c r="N72" s="36">
        <f t="shared" si="2"/>
        <v>17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3029</v>
      </c>
      <c r="P72" s="19">
        <f>E72*H72*FFslave+E72*FFslave*H72+KLslave*H72*H72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4"/>
        <v>3.8202388901253808</v>
      </c>
      <c r="T72" s="25">
        <f t="shared" si="5"/>
        <v>3.2388159359002895</v>
      </c>
      <c r="U72" s="38">
        <f t="shared" si="6"/>
        <v>0.68105942577342538</v>
      </c>
      <c r="V72" s="14">
        <f t="shared" si="7"/>
        <v>7.7401142517990964</v>
      </c>
      <c r="W72" s="123">
        <f t="shared" si="26"/>
        <v>0</v>
      </c>
      <c r="X72" s="5">
        <f t="shared" si="8"/>
        <v>7.7401142517990964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3000.4576271186443</v>
      </c>
      <c r="P74" s="30">
        <f>AVERAGE(P10:P72)</f>
        <v>1339.2711864406779</v>
      </c>
      <c r="Q74" s="31">
        <f>AVERAGE(Q10:Q72)</f>
        <v>205.69491525423729</v>
      </c>
      <c r="R74" s="31">
        <f>O74+P74+Q74</f>
        <v>4545.42372881356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111.875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8.0884875164427328</v>
      </c>
      <c r="W75" s="56">
        <f>W78/COUNT(W10:W72)</f>
        <v>0</v>
      </c>
      <c r="X75" s="56">
        <f>X78/COUNTIF(X10:X72,"&gt;0")</f>
        <v>8.0884875164427328</v>
      </c>
      <c r="Y75" s="133">
        <v>0</v>
      </c>
      <c r="Z75" s="74">
        <f>Z78/COUNTIF(Z10:Z72,"&gt;0")</f>
        <v>17.119900247832458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140</v>
      </c>
      <c r="F78" s="45">
        <f t="shared" si="29"/>
        <v>120</v>
      </c>
      <c r="G78" s="45">
        <f t="shared" si="29"/>
        <v>126</v>
      </c>
      <c r="H78" s="45">
        <f t="shared" si="29"/>
        <v>114</v>
      </c>
      <c r="I78" s="45">
        <f t="shared" si="29"/>
        <v>105</v>
      </c>
      <c r="J78" s="45">
        <f t="shared" si="29"/>
        <v>90</v>
      </c>
      <c r="K78" s="46">
        <f t="shared" si="29"/>
        <v>110</v>
      </c>
      <c r="L78" s="50">
        <f>SUM(L10:L72)</f>
        <v>342.99999999999989</v>
      </c>
      <c r="M78" s="51">
        <f>SUM(M10:M72)</f>
        <v>685.99999999999977</v>
      </c>
      <c r="N78" s="52">
        <f>SUM(N10:N72)</f>
        <v>1029</v>
      </c>
      <c r="O78" s="47">
        <f>O74/O76</f>
        <v>0.43744826171725387</v>
      </c>
      <c r="P78" s="48">
        <f>P74/P76</f>
        <v>0.1952574991165881</v>
      </c>
      <c r="Q78" s="49">
        <f>Q74/Q76</f>
        <v>2.9989053106026724E-2</v>
      </c>
      <c r="R78" s="47">
        <f>O78+P78+Q78</f>
        <v>0.66269481393986873</v>
      </c>
      <c r="S78" s="47">
        <f>L78*O74/R74</f>
        <v>226.41606756655966</v>
      </c>
      <c r="T78" s="48">
        <f>M78*P74/R74</f>
        <v>202.12417779103575</v>
      </c>
      <c r="U78" s="49">
        <f>N78*Q74/R74</f>
        <v>46.565530613766867</v>
      </c>
      <c r="V78" s="53">
        <f>SUMIF(V10:V72,"&gt;0")</f>
        <v>477.2207634701212</v>
      </c>
      <c r="W78" s="66">
        <f>SUM(W10:W72)</f>
        <v>0</v>
      </c>
      <c r="X78" s="53">
        <f>SUMIF(X10:X72,"&gt;0")</f>
        <v>477.2207634701212</v>
      </c>
      <c r="Y78" s="53">
        <f>SUMIF(Y10:Y72,"&gt;0")</f>
        <v>0</v>
      </c>
      <c r="Z78" s="86">
        <f>SUMIF(Z10:Z72,"&gt;0")</f>
        <v>1010.0741146221151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3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11" priority="74" operator="lessThanOrEqual">
      <formula>0</formula>
    </cfRule>
  </conditionalFormatting>
  <conditionalFormatting sqref="J75:K75 D78:K78">
    <cfRule type="colorScale" priority="73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10" priority="9" operator="lessThanOrEqual">
      <formula>0</formula>
    </cfRule>
  </conditionalFormatting>
  <conditionalFormatting sqref="X56:X75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1"/>
  <sheetViews>
    <sheetView topLeftCell="A49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</f>
        <v>14</v>
      </c>
      <c r="F2" s="95">
        <f>INmaster</f>
        <v>14</v>
      </c>
      <c r="G2" s="95">
        <f>CHmaster+1</f>
        <v>13</v>
      </c>
      <c r="H2" s="95">
        <f>FFmaster</f>
        <v>13</v>
      </c>
      <c r="I2" s="95">
        <f>GEmaster</f>
        <v>12</v>
      </c>
      <c r="J2" s="95">
        <f>KOmaster</f>
        <v>13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75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555</v>
      </c>
      <c r="M5" s="92">
        <f>W81</f>
        <v>0</v>
      </c>
      <c r="N5" s="93">
        <f>L5+M5</f>
        <v>555</v>
      </c>
      <c r="O5" s="125">
        <v>1100</v>
      </c>
      <c r="P5" s="94">
        <f>O5-N5</f>
        <v>545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5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5.666666666666667</v>
      </c>
      <c r="M10" s="27">
        <f>2*L10</f>
        <v>11.333333333333334</v>
      </c>
      <c r="N10" s="28">
        <f>3*L10</f>
        <v>17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3052</v>
      </c>
      <c r="P10" s="11">
        <f>D10*F10*GEslave+D10*INslave*I10+MUslave*F10*I10</f>
        <v>1280</v>
      </c>
      <c r="Q10" s="62">
        <f>IFERROR(D10^SIGN(D10),1)*IFERROR(E10^SIGN(E10),1)*IFERROR(F10^SIGN(F10),1)*IFERROR(G10^SIGN(G10),1)*IFERROR(H10^SIGN(H10),1)*IFERROR(I10^SIGN(I10),1)*IFERROR(J10^SIGN(J10),1)*IFERROR(K10^SIGN(K10),1)</f>
        <v>175</v>
      </c>
      <c r="R10" s="60">
        <f>SUM(O10:Q10)</f>
        <v>4507</v>
      </c>
      <c r="S10" s="29">
        <f>L10*O10/R10</f>
        <v>3.8372901412617413</v>
      </c>
      <c r="T10" s="30">
        <f>M10*P10/R10</f>
        <v>3.2186968419495603</v>
      </c>
      <c r="U10" s="31">
        <f>N10*Q10/R10</f>
        <v>0.66008431329043715</v>
      </c>
      <c r="V10" s="3">
        <f>SUM(S10:U10)</f>
        <v>7.7160712965017391</v>
      </c>
      <c r="W10" s="129">
        <f t="shared" ref="W10:W23" si="0">Istwerte</f>
        <v>0</v>
      </c>
      <c r="X10" s="3">
        <f>V10-W10</f>
        <v>7.7160712965017391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15.432142593003478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6</v>
      </c>
      <c r="H11" s="21">
        <f>Konvention_1slave-FFslave</f>
        <v>6</v>
      </c>
      <c r="I11" s="21"/>
      <c r="J11" s="21"/>
      <c r="K11" s="22"/>
      <c r="L11" s="27">
        <f>(D11+E11+F11+G11+H11+I11+J11+K11)/3</f>
        <v>5.666666666666667</v>
      </c>
      <c r="M11" s="27">
        <f t="shared" ref="M11:M72" si="1">2*L11</f>
        <v>11.333333333333334</v>
      </c>
      <c r="N11" s="32">
        <f t="shared" ref="N11:N72" si="2">3*L11</f>
        <v>17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3029</v>
      </c>
      <c r="P11" s="11">
        <f>D11*G11*FFslave+D11*CHslave*H11+MUslave*G11*H11</f>
        <v>1284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180</v>
      </c>
      <c r="R11" s="20">
        <f>SUM(O11:Q11)</f>
        <v>4493</v>
      </c>
      <c r="S11" s="33">
        <f t="shared" ref="S11:S72" si="4">L11*O11/R11</f>
        <v>3.8202388901253808</v>
      </c>
      <c r="T11" s="26">
        <f t="shared" ref="T11:T72" si="5">M11*P11/R11</f>
        <v>3.2388159359002895</v>
      </c>
      <c r="U11" s="34">
        <f t="shared" ref="U11:U72" si="6">N11*Q11/R11</f>
        <v>0.68105942577342538</v>
      </c>
      <c r="V11" s="4">
        <f t="shared" ref="V11:V72" si="7">SUM(S11:U11)</f>
        <v>7.7401142517990964</v>
      </c>
      <c r="W11" s="123">
        <f t="shared" si="0"/>
        <v>0</v>
      </c>
      <c r="X11" s="4">
        <f t="shared" ref="X11:X72" si="8">V11-W11</f>
        <v>7.7401142517990964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7.7401142517990964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11</v>
      </c>
      <c r="L12" s="27">
        <f>(D12+E12+F12+G12+H12+I12+J12+K12)/3</f>
        <v>7.666666666666667</v>
      </c>
      <c r="M12" s="27">
        <f t="shared" si="1"/>
        <v>15.333333333333334</v>
      </c>
      <c r="N12" s="32">
        <f t="shared" si="2"/>
        <v>23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3112</v>
      </c>
      <c r="P12" s="11">
        <f>D12*I12*KKslave+D12*GEslave*K12+MUslave*I12*K12</f>
        <v>2018</v>
      </c>
      <c r="Q12" s="22">
        <f t="shared" si="3"/>
        <v>385</v>
      </c>
      <c r="R12" s="20">
        <f t="shared" ref="R12:R22" si="10">SUM(O12:Q12)</f>
        <v>5515</v>
      </c>
      <c r="S12" s="33">
        <f t="shared" si="4"/>
        <v>4.3261408280447267</v>
      </c>
      <c r="T12" s="26">
        <f t="shared" si="5"/>
        <v>5.6106376548806285</v>
      </c>
      <c r="U12" s="34">
        <f t="shared" si="6"/>
        <v>1.6056210335448775</v>
      </c>
      <c r="V12" s="4">
        <f t="shared" si="7"/>
        <v>11.542399516470233</v>
      </c>
      <c r="W12" s="123">
        <f t="shared" si="0"/>
        <v>0</v>
      </c>
      <c r="X12" s="4">
        <f t="shared" si="8"/>
        <v>11.542399516470233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23.084799032940467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6</v>
      </c>
      <c r="K13" s="22"/>
      <c r="L13" s="27">
        <f>(I13+I13+J13)/3</f>
        <v>6.666666666666667</v>
      </c>
      <c r="M13" s="27">
        <f t="shared" si="1"/>
        <v>13.333333333333334</v>
      </c>
      <c r="N13" s="32">
        <f t="shared" si="2"/>
        <v>20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3048</v>
      </c>
      <c r="P13" s="11">
        <f>I13*I13*KOslave+I13*GEslave*J13+GEslave*I13*J13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10"/>
        <v>4987</v>
      </c>
      <c r="S13" s="33">
        <f t="shared" si="4"/>
        <v>4.0745939442550636</v>
      </c>
      <c r="T13" s="26">
        <f t="shared" si="5"/>
        <v>4.3981017311677029</v>
      </c>
      <c r="U13" s="34">
        <f t="shared" si="6"/>
        <v>1.1790655704832564</v>
      </c>
      <c r="V13" s="4">
        <f t="shared" si="7"/>
        <v>9.6517612459060231</v>
      </c>
      <c r="W13" s="123">
        <f t="shared" si="0"/>
        <v>0</v>
      </c>
      <c r="X13" s="4">
        <f t="shared" si="8"/>
        <v>9.6517612459060231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11</v>
      </c>
      <c r="L14" s="27">
        <f>(J14+K14+K14)/3</f>
        <v>9.3333333333333339</v>
      </c>
      <c r="M14" s="27">
        <f t="shared" si="1"/>
        <v>18.666666666666668</v>
      </c>
      <c r="N14" s="32">
        <f t="shared" si="2"/>
        <v>28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2672</v>
      </c>
      <c r="P14" s="11">
        <f>J14*K14*KKslave+J14*KKslave*K14+KOslave*K14*K14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10"/>
        <v>6027</v>
      </c>
      <c r="S14" s="33">
        <f t="shared" si="4"/>
        <v>4.137824235385211</v>
      </c>
      <c r="T14" s="26">
        <f t="shared" si="5"/>
        <v>8.1424699961285327</v>
      </c>
      <c r="U14" s="34">
        <f t="shared" si="6"/>
        <v>3.3728222996515678</v>
      </c>
      <c r="V14" s="4">
        <f t="shared" si="7"/>
        <v>15.65311653116531</v>
      </c>
      <c r="W14" s="123">
        <f t="shared" si="0"/>
        <v>0</v>
      </c>
      <c r="X14" s="4">
        <f t="shared" si="8"/>
        <v>15.65311653116531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6</v>
      </c>
      <c r="H15" s="21"/>
      <c r="I15" s="21">
        <f>Konvention_1slave-GEslave</f>
        <v>7</v>
      </c>
      <c r="J15" s="21"/>
      <c r="K15" s="22">
        <f>Konvention_1slave-KKslave</f>
        <v>11</v>
      </c>
      <c r="L15" s="27">
        <f>(D15+E15+F15+G15+H15+I15+J15+K15)/3</f>
        <v>8</v>
      </c>
      <c r="M15" s="27">
        <f t="shared" si="1"/>
        <v>16</v>
      </c>
      <c r="N15" s="32">
        <f t="shared" si="2"/>
        <v>24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3020</v>
      </c>
      <c r="P15" s="11">
        <f>G15*I15*KKslave+G15*GEslave*K15+CHslave*I15*K15</f>
        <v>2129</v>
      </c>
      <c r="Q15" s="22">
        <f t="shared" si="3"/>
        <v>462</v>
      </c>
      <c r="R15" s="20">
        <f t="shared" si="10"/>
        <v>5611</v>
      </c>
      <c r="S15" s="33">
        <f t="shared" si="4"/>
        <v>4.3058278381750137</v>
      </c>
      <c r="T15" s="26">
        <f t="shared" si="5"/>
        <v>6.0709320976653007</v>
      </c>
      <c r="U15" s="34">
        <f t="shared" si="6"/>
        <v>1.9761183389770094</v>
      </c>
      <c r="V15" s="4">
        <f t="shared" si="7"/>
        <v>12.352878274817325</v>
      </c>
      <c r="W15" s="123">
        <f t="shared" si="0"/>
        <v>0</v>
      </c>
      <c r="X15" s="4">
        <f t="shared" si="8"/>
        <v>12.352878274817325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25.4115130992693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6</v>
      </c>
      <c r="K16" s="22">
        <f>Konvention_1slave-KKslave</f>
        <v>11</v>
      </c>
      <c r="L16" s="27">
        <f>(D16+E16+F16+G16+H16+I16+J16+K16)/3</f>
        <v>8</v>
      </c>
      <c r="M16" s="27">
        <f t="shared" si="1"/>
        <v>16</v>
      </c>
      <c r="N16" s="32">
        <f t="shared" si="2"/>
        <v>24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3020</v>
      </c>
      <c r="P16" s="11">
        <f>I16*J16*KKslave+I16*KOslave*K16+GEslave*J16*K16</f>
        <v>2129</v>
      </c>
      <c r="Q16" s="22">
        <f t="shared" si="3"/>
        <v>462</v>
      </c>
      <c r="R16" s="20">
        <f t="shared" si="10"/>
        <v>5611</v>
      </c>
      <c r="S16" s="33">
        <f t="shared" si="4"/>
        <v>4.3058278381750137</v>
      </c>
      <c r="T16" s="26">
        <f t="shared" si="5"/>
        <v>6.0709320976653007</v>
      </c>
      <c r="U16" s="34">
        <f t="shared" si="6"/>
        <v>1.9761183389770094</v>
      </c>
      <c r="V16" s="4">
        <f t="shared" si="7"/>
        <v>12.352878274817325</v>
      </c>
      <c r="W16" s="123">
        <f t="shared" si="0"/>
        <v>0</v>
      </c>
      <c r="X16" s="4">
        <f t="shared" si="8"/>
        <v>12.352878274817325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25.4115130992693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5.333333333333333</v>
      </c>
      <c r="M17" s="27">
        <f t="shared" si="1"/>
        <v>10.666666666666666</v>
      </c>
      <c r="N17" s="32">
        <f t="shared" si="2"/>
        <v>16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2996</v>
      </c>
      <c r="P17" s="11">
        <f>D17*D17*KOslave+D17*MUslave*J17+MUslave*D17*J17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10"/>
        <v>4311</v>
      </c>
      <c r="S17" s="33">
        <f t="shared" si="4"/>
        <v>3.7064872806000153</v>
      </c>
      <c r="T17" s="26">
        <f t="shared" si="5"/>
        <v>2.8825485192917344</v>
      </c>
      <c r="U17" s="34">
        <f t="shared" si="6"/>
        <v>0.55671537926235215</v>
      </c>
      <c r="V17" s="4">
        <f t="shared" si="7"/>
        <v>7.145751179154102</v>
      </c>
      <c r="W17" s="123">
        <f t="shared" si="0"/>
        <v>0</v>
      </c>
      <c r="X17" s="4">
        <f t="shared" si="8"/>
        <v>7.145751179154102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6</v>
      </c>
      <c r="H18" s="21"/>
      <c r="I18" s="21"/>
      <c r="J18" s="21">
        <f>Konvention_1slave-KOslave</f>
        <v>6</v>
      </c>
      <c r="K18" s="22"/>
      <c r="L18" s="27">
        <f>(D18+E18+F18+G18+H18+I18+J18+K18)/3</f>
        <v>5.666666666666667</v>
      </c>
      <c r="M18" s="27">
        <f t="shared" si="1"/>
        <v>11.333333333333334</v>
      </c>
      <c r="N18" s="32">
        <f t="shared" si="2"/>
        <v>17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3029</v>
      </c>
      <c r="P18" s="11">
        <f>E18*G18*KOslave+E18*CHslave*J18+KLslave*G18*J18</f>
        <v>1284</v>
      </c>
      <c r="Q18" s="22">
        <f t="shared" si="3"/>
        <v>180</v>
      </c>
      <c r="R18" s="20">
        <f t="shared" si="10"/>
        <v>4493</v>
      </c>
      <c r="S18" s="33">
        <f t="shared" si="4"/>
        <v>3.8202388901253808</v>
      </c>
      <c r="T18" s="26">
        <f t="shared" si="5"/>
        <v>3.2388159359002895</v>
      </c>
      <c r="U18" s="34">
        <f t="shared" si="6"/>
        <v>0.68105942577342538</v>
      </c>
      <c r="V18" s="4">
        <f t="shared" si="7"/>
        <v>7.7401142517990964</v>
      </c>
      <c r="W18" s="123">
        <f t="shared" si="0"/>
        <v>0</v>
      </c>
      <c r="X18" s="4">
        <f t="shared" si="8"/>
        <v>7.7401142517990964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7.7401142517990964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1"/>
        <v>10</v>
      </c>
      <c r="N19" s="32">
        <f t="shared" si="2"/>
        <v>15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2940</v>
      </c>
      <c r="P19" s="11">
        <f>E19*F19*INslave+E19*INslave*F19+KLslave*F19*F19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10"/>
        <v>4115</v>
      </c>
      <c r="S19" s="33">
        <f t="shared" si="4"/>
        <v>3.5722964763061968</v>
      </c>
      <c r="T19" s="26">
        <f t="shared" si="5"/>
        <v>2.5516403402187122</v>
      </c>
      <c r="U19" s="34">
        <f t="shared" si="6"/>
        <v>0.45565006075334141</v>
      </c>
      <c r="V19" s="4">
        <f t="shared" si="7"/>
        <v>6.57958687727825</v>
      </c>
      <c r="W19" s="123">
        <f t="shared" si="0"/>
        <v>0</v>
      </c>
      <c r="X19" s="4">
        <f t="shared" si="8"/>
        <v>6.57958687727825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6</v>
      </c>
      <c r="H20" s="21"/>
      <c r="I20" s="21">
        <f>Konvention_1slave-GEslave</f>
        <v>7</v>
      </c>
      <c r="J20" s="21"/>
      <c r="K20" s="22"/>
      <c r="L20" s="27">
        <f>(D20+E20+F20+G20+H20+I20+J20+K20)/3</f>
        <v>6</v>
      </c>
      <c r="M20" s="27">
        <f t="shared" si="1"/>
        <v>12</v>
      </c>
      <c r="N20" s="32">
        <f t="shared" si="2"/>
        <v>18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3062</v>
      </c>
      <c r="P20" s="11">
        <f>E20*G20*GEslave+E20*CHslave*I20+KLslave*G20*I20</f>
        <v>1403</v>
      </c>
      <c r="Q20" s="22">
        <f t="shared" si="3"/>
        <v>210</v>
      </c>
      <c r="R20" s="20">
        <f t="shared" si="10"/>
        <v>4675</v>
      </c>
      <c r="S20" s="33">
        <f t="shared" si="4"/>
        <v>3.9298395721925132</v>
      </c>
      <c r="T20" s="26">
        <f t="shared" si="5"/>
        <v>3.6012834224598929</v>
      </c>
      <c r="U20" s="34">
        <f t="shared" si="6"/>
        <v>0.80855614973262036</v>
      </c>
      <c r="V20" s="4">
        <f t="shared" si="7"/>
        <v>8.3396791443850269</v>
      </c>
      <c r="W20" s="123">
        <f t="shared" si="0"/>
        <v>0</v>
      </c>
      <c r="X20" s="4">
        <f t="shared" si="8"/>
        <v>8.3396791443850269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8.3396791443850269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6</v>
      </c>
      <c r="I21" s="21">
        <f>Konvention_1slave-GEslave</f>
        <v>7</v>
      </c>
      <c r="J21" s="21"/>
      <c r="K21" s="22"/>
      <c r="L21" s="27">
        <f>(D21+E21+F21+G21+H21+I21+J21+K21)/3</f>
        <v>6</v>
      </c>
      <c r="M21" s="27">
        <f t="shared" si="1"/>
        <v>12</v>
      </c>
      <c r="N21" s="32">
        <f t="shared" si="2"/>
        <v>18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3062</v>
      </c>
      <c r="P21" s="11">
        <f>D21*H21*GEslave+D21*FFslave*I21+MUslave*H21*I21</f>
        <v>1403</v>
      </c>
      <c r="Q21" s="22">
        <f t="shared" si="3"/>
        <v>210</v>
      </c>
      <c r="R21" s="20">
        <f t="shared" si="10"/>
        <v>4675</v>
      </c>
      <c r="S21" s="33">
        <f t="shared" si="4"/>
        <v>3.9298395721925132</v>
      </c>
      <c r="T21" s="26">
        <f t="shared" si="5"/>
        <v>3.6012834224598929</v>
      </c>
      <c r="U21" s="34">
        <f t="shared" si="6"/>
        <v>0.80855614973262036</v>
      </c>
      <c r="V21" s="4">
        <f t="shared" si="7"/>
        <v>8.3396791443850269</v>
      </c>
      <c r="W21" s="123">
        <f t="shared" si="0"/>
        <v>0</v>
      </c>
      <c r="X21" s="4">
        <f t="shared" si="8"/>
        <v>8.3396791443850269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16.679358288770054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5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5.666666666666667</v>
      </c>
      <c r="M22" s="27">
        <f t="shared" si="1"/>
        <v>11.333333333333334</v>
      </c>
      <c r="N22" s="32">
        <f t="shared" si="2"/>
        <v>17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3052</v>
      </c>
      <c r="P22" s="11">
        <f>D22*F22*GEslave+D22*INslave*I22+MUslave*F22*I22</f>
        <v>1280</v>
      </c>
      <c r="Q22" s="22">
        <f t="shared" si="3"/>
        <v>175</v>
      </c>
      <c r="R22" s="20">
        <f t="shared" si="10"/>
        <v>4507</v>
      </c>
      <c r="S22" s="33">
        <f t="shared" si="4"/>
        <v>3.8372901412617413</v>
      </c>
      <c r="T22" s="26">
        <f t="shared" si="5"/>
        <v>3.2186968419495603</v>
      </c>
      <c r="U22" s="34">
        <f t="shared" si="6"/>
        <v>0.66008431329043715</v>
      </c>
      <c r="V22" s="4">
        <f t="shared" si="7"/>
        <v>7.7160712965017391</v>
      </c>
      <c r="W22" s="123">
        <f t="shared" si="0"/>
        <v>0</v>
      </c>
      <c r="X22" s="4">
        <f t="shared" si="8"/>
        <v>7.7160712965017391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23.148213889505218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11</v>
      </c>
      <c r="L23" s="25">
        <f>(D23+E23+F23+G23+H23+I23+J23+K23)/3</f>
        <v>7.333333333333333</v>
      </c>
      <c r="M23" s="25">
        <f t="shared" si="1"/>
        <v>14.666666666666666</v>
      </c>
      <c r="N23" s="36">
        <f t="shared" si="2"/>
        <v>22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3194</v>
      </c>
      <c r="P23" s="19">
        <f>E23*J23*KKslave+E23*KOslave*K23+KLslave*J23*K23</f>
        <v>1879</v>
      </c>
      <c r="Q23" s="23">
        <f t="shared" si="3"/>
        <v>330</v>
      </c>
      <c r="R23" s="24">
        <f>SUM(O23:Q23)</f>
        <v>5403</v>
      </c>
      <c r="S23" s="37">
        <f t="shared" si="4"/>
        <v>4.3351224628292915</v>
      </c>
      <c r="T23" s="25">
        <f t="shared" si="5"/>
        <v>5.1006231106175575</v>
      </c>
      <c r="U23" s="38">
        <f t="shared" si="6"/>
        <v>1.3436979455857856</v>
      </c>
      <c r="V23" s="5">
        <f t="shared" si="7"/>
        <v>10.779443519032634</v>
      </c>
      <c r="W23" s="123">
        <f t="shared" si="0"/>
        <v>0</v>
      </c>
      <c r="X23" s="5">
        <f t="shared" si="8"/>
        <v>10.779443519032634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10.779443519032634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5</v>
      </c>
      <c r="F25" s="61"/>
      <c r="G25" s="61">
        <f t="shared" ref="G25:G33" si="11">Konvention_1slave-CHslave</f>
        <v>6</v>
      </c>
      <c r="H25" s="61"/>
      <c r="I25" s="61"/>
      <c r="J25" s="61"/>
      <c r="K25" s="62"/>
      <c r="L25" s="27">
        <f>(D25+E25+F25+G25+H25+I25+J25+K25)/3</f>
        <v>5.333333333333333</v>
      </c>
      <c r="M25" s="27">
        <f t="shared" si="1"/>
        <v>10.666666666666666</v>
      </c>
      <c r="N25" s="28">
        <f t="shared" si="2"/>
        <v>16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2996</v>
      </c>
      <c r="P25" s="11">
        <f>D25*E25*CHslave+D25*KLslave*G25+MUslave*E25*G25</f>
        <v>1165</v>
      </c>
      <c r="Q25" s="62">
        <f t="shared" si="3"/>
        <v>150</v>
      </c>
      <c r="R25" s="60">
        <f>SUM(O25:Q25)</f>
        <v>4311</v>
      </c>
      <c r="S25" s="29">
        <f t="shared" si="4"/>
        <v>3.7064872806000153</v>
      </c>
      <c r="T25" s="30">
        <f t="shared" si="5"/>
        <v>2.8825485192917344</v>
      </c>
      <c r="U25" s="31">
        <f t="shared" si="6"/>
        <v>0.55671537926235215</v>
      </c>
      <c r="V25" s="12">
        <f t="shared" si="7"/>
        <v>7.145751179154102</v>
      </c>
      <c r="W25" s="123">
        <f t="shared" ref="W25:W33" si="12">Istwerte</f>
        <v>0</v>
      </c>
      <c r="X25" s="3">
        <f t="shared" si="8"/>
        <v>7.145751179154102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14.291502358308204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6</v>
      </c>
      <c r="H26" s="21"/>
      <c r="I26" s="21"/>
      <c r="J26" s="21"/>
      <c r="K26" s="22"/>
      <c r="L26" s="27">
        <f>(D26+G26+G26)/3</f>
        <v>5.666666666666667</v>
      </c>
      <c r="M26" s="27">
        <f t="shared" si="1"/>
        <v>11.333333333333334</v>
      </c>
      <c r="N26" s="32">
        <f t="shared" si="2"/>
        <v>17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3029</v>
      </c>
      <c r="P26" s="11">
        <f>D26*G26*CHslave+D26*CHslave*G26+MUslave*G26*G26</f>
        <v>1284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180</v>
      </c>
      <c r="R26" s="20">
        <f t="shared" ref="R26:R32" si="13">SUM(O26:Q26)</f>
        <v>4493</v>
      </c>
      <c r="S26" s="33">
        <f t="shared" si="4"/>
        <v>3.8202388901253808</v>
      </c>
      <c r="T26" s="26">
        <f t="shared" si="5"/>
        <v>3.2388159359002895</v>
      </c>
      <c r="U26" s="34">
        <f t="shared" si="6"/>
        <v>0.68105942577342538</v>
      </c>
      <c r="V26" s="13">
        <f t="shared" si="7"/>
        <v>7.7401142517990964</v>
      </c>
      <c r="W26" s="123">
        <f t="shared" si="12"/>
        <v>0</v>
      </c>
      <c r="X26" s="4">
        <f t="shared" si="8"/>
        <v>7.7401142517990964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15.480228503598193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5</v>
      </c>
      <c r="G27" s="21">
        <f t="shared" si="11"/>
        <v>6</v>
      </c>
      <c r="H27" s="21"/>
      <c r="I27" s="21"/>
      <c r="J27" s="21"/>
      <c r="K27" s="22"/>
      <c r="L27" s="27">
        <f t="shared" ref="L27:L33" si="15">(D27+E27+F27+G27+H27+I27+J27+K27)/3</f>
        <v>5.333333333333333</v>
      </c>
      <c r="M27" s="27">
        <f t="shared" si="1"/>
        <v>10.666666666666666</v>
      </c>
      <c r="N27" s="32">
        <f t="shared" si="2"/>
        <v>16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2996</v>
      </c>
      <c r="P27" s="11">
        <f>D27*F27*CHslave+D27*INslave*G27+MUslave*F27*G27</f>
        <v>1165</v>
      </c>
      <c r="Q27" s="22">
        <f t="shared" si="3"/>
        <v>150</v>
      </c>
      <c r="R27" s="20">
        <f t="shared" si="13"/>
        <v>4311</v>
      </c>
      <c r="S27" s="33">
        <f t="shared" si="4"/>
        <v>3.7064872806000153</v>
      </c>
      <c r="T27" s="26">
        <f t="shared" si="5"/>
        <v>2.8825485192917344</v>
      </c>
      <c r="U27" s="34">
        <f t="shared" si="6"/>
        <v>0.55671537926235215</v>
      </c>
      <c r="V27" s="13">
        <f t="shared" si="7"/>
        <v>7.145751179154102</v>
      </c>
      <c r="W27" s="123">
        <f t="shared" si="12"/>
        <v>0</v>
      </c>
      <c r="X27" s="4">
        <f t="shared" si="8"/>
        <v>7.145751179154102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14.291502358308204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5</v>
      </c>
      <c r="G28" s="21">
        <f t="shared" si="11"/>
        <v>6</v>
      </c>
      <c r="H28" s="21"/>
      <c r="I28" s="21"/>
      <c r="J28" s="21"/>
      <c r="K28" s="22"/>
      <c r="L28" s="27">
        <f t="shared" si="15"/>
        <v>5.333333333333333</v>
      </c>
      <c r="M28" s="27">
        <f t="shared" si="1"/>
        <v>10.666666666666666</v>
      </c>
      <c r="N28" s="32">
        <f t="shared" si="2"/>
        <v>16</v>
      </c>
      <c r="O28" s="11">
        <f t="shared" si="16"/>
        <v>2996</v>
      </c>
      <c r="P28" s="11">
        <f>E28*F28*CHslave+E28*INslave*G28+KLslave*F28*G28</f>
        <v>1165</v>
      </c>
      <c r="Q28" s="22">
        <f t="shared" si="3"/>
        <v>150</v>
      </c>
      <c r="R28" s="20">
        <f t="shared" si="13"/>
        <v>4311</v>
      </c>
      <c r="S28" s="33">
        <f t="shared" si="4"/>
        <v>3.7064872806000153</v>
      </c>
      <c r="T28" s="26">
        <f t="shared" si="5"/>
        <v>2.8825485192917344</v>
      </c>
      <c r="U28" s="34">
        <f t="shared" si="6"/>
        <v>0.55671537926235215</v>
      </c>
      <c r="V28" s="13">
        <f t="shared" si="7"/>
        <v>7.145751179154102</v>
      </c>
      <c r="W28" s="123">
        <f t="shared" si="12"/>
        <v>0</v>
      </c>
      <c r="X28" s="4">
        <f t="shared" si="8"/>
        <v>7.145751179154102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14.291502358308204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5</v>
      </c>
      <c r="G29" s="21">
        <f t="shared" si="11"/>
        <v>6</v>
      </c>
      <c r="H29" s="21"/>
      <c r="I29" s="21"/>
      <c r="J29" s="21"/>
      <c r="K29" s="22"/>
      <c r="L29" s="27">
        <f t="shared" si="15"/>
        <v>5.333333333333333</v>
      </c>
      <c r="M29" s="27">
        <f t="shared" si="1"/>
        <v>10.666666666666666</v>
      </c>
      <c r="N29" s="32">
        <f t="shared" si="2"/>
        <v>16</v>
      </c>
      <c r="O29" s="11">
        <f t="shared" si="16"/>
        <v>2996</v>
      </c>
      <c r="P29" s="11">
        <f>E29*F29*CHslave+E29*INslave*G29+KLslave*F29*G29</f>
        <v>1165</v>
      </c>
      <c r="Q29" s="22">
        <f t="shared" si="3"/>
        <v>150</v>
      </c>
      <c r="R29" s="20">
        <f t="shared" si="13"/>
        <v>4311</v>
      </c>
      <c r="S29" s="33">
        <f t="shared" si="4"/>
        <v>3.7064872806000153</v>
      </c>
      <c r="T29" s="26">
        <f t="shared" si="5"/>
        <v>2.8825485192917344</v>
      </c>
      <c r="U29" s="34">
        <f t="shared" si="6"/>
        <v>0.55671537926235215</v>
      </c>
      <c r="V29" s="13">
        <f t="shared" si="7"/>
        <v>7.145751179154102</v>
      </c>
      <c r="W29" s="123">
        <f t="shared" si="12"/>
        <v>0</v>
      </c>
      <c r="X29" s="4">
        <f t="shared" si="8"/>
        <v>7.145751179154102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21.437253537462304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5</v>
      </c>
      <c r="G30" s="21">
        <f t="shared" si="11"/>
        <v>6</v>
      </c>
      <c r="H30" s="21"/>
      <c r="I30" s="21"/>
      <c r="J30" s="21"/>
      <c r="K30" s="22"/>
      <c r="L30" s="27">
        <f t="shared" si="15"/>
        <v>5.333333333333333</v>
      </c>
      <c r="M30" s="27">
        <f t="shared" si="1"/>
        <v>10.666666666666666</v>
      </c>
      <c r="N30" s="32">
        <f t="shared" si="2"/>
        <v>16</v>
      </c>
      <c r="O30" s="11">
        <f t="shared" si="16"/>
        <v>2996</v>
      </c>
      <c r="P30" s="11">
        <f>E30*F30*CHslave+E30*INslave*G30+KLslave*F30*G30</f>
        <v>1165</v>
      </c>
      <c r="Q30" s="22">
        <f t="shared" si="3"/>
        <v>150</v>
      </c>
      <c r="R30" s="20">
        <f t="shared" si="13"/>
        <v>4311</v>
      </c>
      <c r="S30" s="33">
        <f t="shared" si="4"/>
        <v>3.7064872806000153</v>
      </c>
      <c r="T30" s="26">
        <f t="shared" si="5"/>
        <v>2.8825485192917344</v>
      </c>
      <c r="U30" s="34">
        <f t="shared" si="6"/>
        <v>0.55671537926235215</v>
      </c>
      <c r="V30" s="13">
        <f t="shared" si="7"/>
        <v>7.145751179154102</v>
      </c>
      <c r="W30" s="123">
        <f t="shared" si="12"/>
        <v>0</v>
      </c>
      <c r="X30" s="4">
        <f t="shared" si="8"/>
        <v>7.145751179154102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21.437253537462304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5</v>
      </c>
      <c r="G31" s="21">
        <f t="shared" si="11"/>
        <v>6</v>
      </c>
      <c r="H31" s="21"/>
      <c r="I31" s="21"/>
      <c r="J31" s="21"/>
      <c r="K31" s="22"/>
      <c r="L31" s="27">
        <f t="shared" si="15"/>
        <v>5.333333333333333</v>
      </c>
      <c r="M31" s="27">
        <f t="shared" si="1"/>
        <v>10.666666666666666</v>
      </c>
      <c r="N31" s="32">
        <f t="shared" si="2"/>
        <v>16</v>
      </c>
      <c r="O31" s="11">
        <f t="shared" si="16"/>
        <v>2996</v>
      </c>
      <c r="P31" s="11">
        <f>D31*F31*CHslave+D31*INslave*G31+MUslave*F31*G31</f>
        <v>1165</v>
      </c>
      <c r="Q31" s="22">
        <f t="shared" si="3"/>
        <v>150</v>
      </c>
      <c r="R31" s="20">
        <f t="shared" si="13"/>
        <v>4311</v>
      </c>
      <c r="S31" s="33">
        <f t="shared" si="4"/>
        <v>3.7064872806000153</v>
      </c>
      <c r="T31" s="26">
        <f t="shared" si="5"/>
        <v>2.8825485192917344</v>
      </c>
      <c r="U31" s="34">
        <f t="shared" si="6"/>
        <v>0.55671537926235215</v>
      </c>
      <c r="V31" s="13">
        <f t="shared" si="7"/>
        <v>7.145751179154102</v>
      </c>
      <c r="W31" s="123">
        <f t="shared" si="12"/>
        <v>0</v>
      </c>
      <c r="X31" s="4">
        <f t="shared" si="8"/>
        <v>7.145751179154102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21.437253537462304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6</v>
      </c>
      <c r="H32" s="21"/>
      <c r="I32" s="21">
        <f>Konvention_1slave-GEslave</f>
        <v>7</v>
      </c>
      <c r="J32" s="21"/>
      <c r="K32" s="22"/>
      <c r="L32" s="27">
        <f t="shared" si="15"/>
        <v>6</v>
      </c>
      <c r="M32" s="27">
        <f t="shared" si="1"/>
        <v>12</v>
      </c>
      <c r="N32" s="32">
        <f t="shared" si="2"/>
        <v>18</v>
      </c>
      <c r="O32" s="11">
        <f t="shared" si="16"/>
        <v>3062</v>
      </c>
      <c r="P32" s="11">
        <f>F32*G32*GEslave+F32*CHslave*I32+INslave*G32*I32</f>
        <v>1403</v>
      </c>
      <c r="Q32" s="22">
        <f t="shared" si="3"/>
        <v>210</v>
      </c>
      <c r="R32" s="20">
        <f t="shared" si="13"/>
        <v>4675</v>
      </c>
      <c r="S32" s="33">
        <f t="shared" si="4"/>
        <v>3.9298395721925132</v>
      </c>
      <c r="T32" s="26">
        <f t="shared" si="5"/>
        <v>3.6012834224598929</v>
      </c>
      <c r="U32" s="34">
        <f t="shared" si="6"/>
        <v>0.80855614973262036</v>
      </c>
      <c r="V32" s="13">
        <f t="shared" si="7"/>
        <v>8.3396791443850269</v>
      </c>
      <c r="W32" s="123">
        <f t="shared" si="12"/>
        <v>0</v>
      </c>
      <c r="X32" s="4">
        <f t="shared" si="8"/>
        <v>8.3396791443850269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16.679358288770054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5</v>
      </c>
      <c r="G33" s="19">
        <f t="shared" si="11"/>
        <v>6</v>
      </c>
      <c r="H33" s="19"/>
      <c r="I33" s="19"/>
      <c r="J33" s="19"/>
      <c r="K33" s="23"/>
      <c r="L33" s="37">
        <f t="shared" si="15"/>
        <v>5.333333333333333</v>
      </c>
      <c r="M33" s="25">
        <f t="shared" si="1"/>
        <v>10.666666666666666</v>
      </c>
      <c r="N33" s="36">
        <f t="shared" si="2"/>
        <v>16</v>
      </c>
      <c r="O33" s="19">
        <f t="shared" si="16"/>
        <v>2996</v>
      </c>
      <c r="P33" s="19">
        <f>D33*F33*CHslave+D33*INslave*G33+MUslave*F33*G33</f>
        <v>1165</v>
      </c>
      <c r="Q33" s="23">
        <f t="shared" si="3"/>
        <v>150</v>
      </c>
      <c r="R33" s="24">
        <f>SUM(O33:Q33)</f>
        <v>4311</v>
      </c>
      <c r="S33" s="37">
        <f t="shared" si="4"/>
        <v>3.7064872806000153</v>
      </c>
      <c r="T33" s="25">
        <f t="shared" si="5"/>
        <v>2.8825485192917344</v>
      </c>
      <c r="U33" s="38">
        <f t="shared" si="6"/>
        <v>0.55671537926235215</v>
      </c>
      <c r="V33" s="14">
        <f t="shared" si="7"/>
        <v>7.145751179154102</v>
      </c>
      <c r="W33" s="123">
        <f t="shared" si="12"/>
        <v>0</v>
      </c>
      <c r="X33" s="5">
        <f t="shared" si="8"/>
        <v>7.145751179154102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28.583004716616408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5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5.666666666666667</v>
      </c>
      <c r="M35" s="27">
        <f t="shared" si="1"/>
        <v>11.333333333333334</v>
      </c>
      <c r="N35" s="28">
        <f t="shared" si="2"/>
        <v>17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3052</v>
      </c>
      <c r="P35" s="11">
        <f>D35*F35*GEslave+D35*INslave*I35+MUslave*F35*I35</f>
        <v>1280</v>
      </c>
      <c r="Q35" s="62">
        <f t="shared" si="3"/>
        <v>175</v>
      </c>
      <c r="R35" s="60">
        <f t="shared" ref="R35:R41" si="17">SUM(O35:Q35)</f>
        <v>4507</v>
      </c>
      <c r="S35" s="29">
        <f t="shared" si="4"/>
        <v>3.8372901412617413</v>
      </c>
      <c r="T35" s="30">
        <f t="shared" si="5"/>
        <v>3.2186968419495603</v>
      </c>
      <c r="U35" s="31">
        <f t="shared" si="6"/>
        <v>0.66008431329043715</v>
      </c>
      <c r="V35" s="12">
        <f t="shared" si="7"/>
        <v>7.7160712965017391</v>
      </c>
      <c r="W35" s="123">
        <f t="shared" ref="W35:W41" si="18">Istwerte</f>
        <v>0</v>
      </c>
      <c r="X35" s="3">
        <f t="shared" si="8"/>
        <v>7.7160712965017391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23.148213889505218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11</v>
      </c>
      <c r="L36" s="27">
        <f>(D36+E36+F36+G36+H36+I36+J36+K36)/3</f>
        <v>7.333333333333333</v>
      </c>
      <c r="M36" s="27">
        <f t="shared" si="1"/>
        <v>14.666666666666666</v>
      </c>
      <c r="N36" s="32">
        <f t="shared" si="2"/>
        <v>22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3194</v>
      </c>
      <c r="P36" s="11">
        <f>E36*H36*KKslave+E36*FFslave*K36+KLslave*H36*K36</f>
        <v>1879</v>
      </c>
      <c r="Q36" s="22">
        <f t="shared" si="3"/>
        <v>330</v>
      </c>
      <c r="R36" s="20">
        <f t="shared" si="17"/>
        <v>5403</v>
      </c>
      <c r="S36" s="33">
        <f t="shared" si="4"/>
        <v>4.3351224628292915</v>
      </c>
      <c r="T36" s="26">
        <f t="shared" si="5"/>
        <v>5.1006231106175575</v>
      </c>
      <c r="U36" s="34">
        <f t="shared" si="6"/>
        <v>1.3436979455857856</v>
      </c>
      <c r="V36" s="13">
        <f t="shared" si="7"/>
        <v>10.779443519032634</v>
      </c>
      <c r="W36" s="123">
        <f t="shared" si="18"/>
        <v>0</v>
      </c>
      <c r="X36" s="4">
        <f t="shared" si="8"/>
        <v>10.779443519032634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10.779443519032634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7</v>
      </c>
      <c r="J37" s="21">
        <f>Konvention_1slave-KOslave</f>
        <v>6</v>
      </c>
      <c r="K37" s="22"/>
      <c r="L37" s="27">
        <f>(D37+E37+F37+G37+H37+I37+J37+K37)/3</f>
        <v>6.333333333333333</v>
      </c>
      <c r="M37" s="27">
        <f t="shared" si="1"/>
        <v>12.666666666666666</v>
      </c>
      <c r="N37" s="32">
        <f t="shared" si="2"/>
        <v>19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3055</v>
      </c>
      <c r="P37" s="11">
        <f>H37*I37*KOslave+H37*GEslave*J37+FFslave*I37*J37</f>
        <v>1524</v>
      </c>
      <c r="Q37" s="22">
        <f t="shared" si="3"/>
        <v>252</v>
      </c>
      <c r="R37" s="20">
        <f t="shared" si="17"/>
        <v>4831</v>
      </c>
      <c r="S37" s="33">
        <f t="shared" si="4"/>
        <v>4.0050369143724556</v>
      </c>
      <c r="T37" s="26">
        <f t="shared" si="5"/>
        <v>3.9958600703788036</v>
      </c>
      <c r="U37" s="34">
        <f t="shared" si="6"/>
        <v>0.99109915131442761</v>
      </c>
      <c r="V37" s="13">
        <f t="shared" si="7"/>
        <v>8.991996136065687</v>
      </c>
      <c r="W37" s="123">
        <f t="shared" si="18"/>
        <v>0</v>
      </c>
      <c r="X37" s="4">
        <f t="shared" si="8"/>
        <v>8.991996136065687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8.991996136065687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1"/>
        <v>10</v>
      </c>
      <c r="N38" s="32">
        <f t="shared" si="2"/>
        <v>15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2940</v>
      </c>
      <c r="P38" s="11">
        <f>E38*F38*INslave+E38*INslave*F38+KLslave*F38*F38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7"/>
        <v>4115</v>
      </c>
      <c r="S38" s="33">
        <f t="shared" si="4"/>
        <v>3.5722964763061968</v>
      </c>
      <c r="T38" s="26">
        <f t="shared" si="5"/>
        <v>2.5516403402187122</v>
      </c>
      <c r="U38" s="34">
        <f t="shared" si="6"/>
        <v>0.45565006075334141</v>
      </c>
      <c r="V38" s="13">
        <f t="shared" si="7"/>
        <v>6.57958687727825</v>
      </c>
      <c r="W38" s="123">
        <f t="shared" si="18"/>
        <v>0</v>
      </c>
      <c r="X38" s="4">
        <f t="shared" si="8"/>
        <v>6.57958687727825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6</v>
      </c>
      <c r="I39" s="21"/>
      <c r="J39" s="21">
        <f>Konvention_1slave-KOslave</f>
        <v>6</v>
      </c>
      <c r="K39" s="22"/>
      <c r="L39" s="27">
        <f>(D39+E39+F39+G39+H39+I39+J39+K39)/3</f>
        <v>5.666666666666667</v>
      </c>
      <c r="M39" s="27">
        <f t="shared" si="1"/>
        <v>11.333333333333334</v>
      </c>
      <c r="N39" s="32">
        <f t="shared" si="2"/>
        <v>17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3029</v>
      </c>
      <c r="P39" s="11">
        <f>E39*H39*KOslave+E39*FFslave*J39+KLslave*H39*J39</f>
        <v>1284</v>
      </c>
      <c r="Q39" s="22">
        <f>IFERROR(D39^SIGN(D39),1)*IFERROR(E39^SIGN(E39),1)*IFERROR(F39^SIGN(F39),1)*IFERROR(G39^SIGN(G39),1)*IFERROR(H39^SIGN(H39),1)*IFERROR(I39^SIGN(I39),1)*IFERROR(J39^SIGN(J39),1)*IFERROR(K39^SIGN(K39),1)</f>
        <v>180</v>
      </c>
      <c r="R39" s="20">
        <f t="shared" si="17"/>
        <v>4493</v>
      </c>
      <c r="S39" s="33">
        <f t="shared" si="4"/>
        <v>3.8202388901253808</v>
      </c>
      <c r="T39" s="26">
        <f t="shared" si="5"/>
        <v>3.2388159359002895</v>
      </c>
      <c r="U39" s="34">
        <f t="shared" si="6"/>
        <v>0.68105942577342538</v>
      </c>
      <c r="V39" s="13">
        <f t="shared" si="7"/>
        <v>7.7401142517990964</v>
      </c>
      <c r="W39" s="123">
        <f t="shared" si="18"/>
        <v>0</v>
      </c>
      <c r="X39" s="4">
        <f t="shared" si="8"/>
        <v>7.7401142517990964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23.22034275539729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6</v>
      </c>
      <c r="H40" s="21"/>
      <c r="I40" s="21"/>
      <c r="J40" s="21"/>
      <c r="K40" s="22"/>
      <c r="L40" s="27">
        <f>(D40+D40+G40)/3</f>
        <v>5.333333333333333</v>
      </c>
      <c r="M40" s="27">
        <f t="shared" si="1"/>
        <v>10.666666666666666</v>
      </c>
      <c r="N40" s="32">
        <f t="shared" si="2"/>
        <v>16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2996</v>
      </c>
      <c r="P40" s="11">
        <f>D40*D40*CHslave+D40*MUslave*G40+MUslave*D40*G40</f>
        <v>1165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150</v>
      </c>
      <c r="R40" s="20">
        <f t="shared" si="17"/>
        <v>4311</v>
      </c>
      <c r="S40" s="33">
        <f t="shared" si="4"/>
        <v>3.7064872806000153</v>
      </c>
      <c r="T40" s="26">
        <f t="shared" si="5"/>
        <v>2.8825485192917344</v>
      </c>
      <c r="U40" s="34">
        <f t="shared" si="6"/>
        <v>0.55671537926235215</v>
      </c>
      <c r="V40" s="13">
        <f t="shared" si="7"/>
        <v>7.145751179154102</v>
      </c>
      <c r="W40" s="123">
        <f t="shared" si="18"/>
        <v>0</v>
      </c>
      <c r="X40" s="4">
        <f t="shared" si="8"/>
        <v>7.145751179154102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21.437253537462304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6</v>
      </c>
      <c r="K41" s="23"/>
      <c r="L41" s="37">
        <f>(D41+E41+F41+G41+H41+I41+J41+K41)/3</f>
        <v>6</v>
      </c>
      <c r="M41" s="25">
        <f t="shared" si="1"/>
        <v>12</v>
      </c>
      <c r="N41" s="36">
        <f t="shared" si="2"/>
        <v>18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3062</v>
      </c>
      <c r="P41" s="19">
        <f>D41*I41*KOslave+D41*GEslave*J41+MUslave*I41*J41</f>
        <v>1403</v>
      </c>
      <c r="Q41" s="23">
        <f t="shared" si="3"/>
        <v>210</v>
      </c>
      <c r="R41" s="24">
        <f t="shared" si="17"/>
        <v>4675</v>
      </c>
      <c r="S41" s="37">
        <f t="shared" si="4"/>
        <v>3.9298395721925132</v>
      </c>
      <c r="T41" s="25">
        <f t="shared" si="5"/>
        <v>3.6012834224598929</v>
      </c>
      <c r="U41" s="38">
        <f t="shared" si="6"/>
        <v>0.80855614973262036</v>
      </c>
      <c r="V41" s="14">
        <f t="shared" si="7"/>
        <v>8.3396791443850269</v>
      </c>
      <c r="W41" s="123">
        <f t="shared" si="18"/>
        <v>0</v>
      </c>
      <c r="X41" s="5">
        <f t="shared" si="8"/>
        <v>8.3396791443850269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25.019037433155081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1"/>
        <v>10</v>
      </c>
      <c r="N43" s="28">
        <f t="shared" si="2"/>
        <v>15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2940</v>
      </c>
      <c r="P43" s="11">
        <f>E43*E43*INslave+E43*KLslave*F43+KLslave*E43*F43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4"/>
        <v>3.5722964763061968</v>
      </c>
      <c r="T43" s="30">
        <f t="shared" si="5"/>
        <v>2.5516403402187122</v>
      </c>
      <c r="U43" s="31">
        <f t="shared" si="6"/>
        <v>0.45565006075334141</v>
      </c>
      <c r="V43" s="12">
        <f t="shared" si="7"/>
        <v>6.57958687727825</v>
      </c>
      <c r="W43" s="123">
        <f t="shared" ref="W43:W54" si="21">Istwerte</f>
        <v>0</v>
      </c>
      <c r="X43" s="3">
        <f t="shared" si="8"/>
        <v>6.57958687727825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1"/>
        <v>10</v>
      </c>
      <c r="N44" s="32">
        <f t="shared" si="2"/>
        <v>15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2940</v>
      </c>
      <c r="P44" s="11">
        <f>E44*E44*INslave+E44*KLslave*F44+KLslave*E44*F44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22">SUM(O44:Q44)</f>
        <v>4115</v>
      </c>
      <c r="S44" s="33">
        <f t="shared" si="4"/>
        <v>3.5722964763061968</v>
      </c>
      <c r="T44" s="26">
        <f t="shared" si="5"/>
        <v>2.5516403402187122</v>
      </c>
      <c r="U44" s="34">
        <f t="shared" si="6"/>
        <v>0.45565006075334141</v>
      </c>
      <c r="V44" s="13">
        <f t="shared" si="7"/>
        <v>6.57958687727825</v>
      </c>
      <c r="W44" s="123">
        <f t="shared" si="21"/>
        <v>0</v>
      </c>
      <c r="X44" s="4">
        <f t="shared" si="8"/>
        <v>6.57958687727825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1"/>
        <v>10</v>
      </c>
      <c r="N45" s="32">
        <f t="shared" si="2"/>
        <v>15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2940</v>
      </c>
      <c r="P45" s="11">
        <f>E45*E45*INslave+E45*KLslave*F45+KLslave*E45*F45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22"/>
        <v>4115</v>
      </c>
      <c r="S45" s="33">
        <f t="shared" si="4"/>
        <v>3.5722964763061968</v>
      </c>
      <c r="T45" s="26">
        <f t="shared" si="5"/>
        <v>2.5516403402187122</v>
      </c>
      <c r="U45" s="34">
        <f t="shared" si="6"/>
        <v>0.45565006075334141</v>
      </c>
      <c r="V45" s="13">
        <f t="shared" si="7"/>
        <v>6.57958687727825</v>
      </c>
      <c r="W45" s="123">
        <f t="shared" si="21"/>
        <v>0</v>
      </c>
      <c r="X45" s="4">
        <f t="shared" si="8"/>
        <v>6.57958687727825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1"/>
        <v>10</v>
      </c>
      <c r="N46" s="32">
        <f t="shared" si="2"/>
        <v>15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2940</v>
      </c>
      <c r="P46" s="11">
        <f>E46*E46*INslave+E46*KLslave*F46+KLslave*E46*F46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22"/>
        <v>4115</v>
      </c>
      <c r="S46" s="33">
        <f t="shared" si="4"/>
        <v>3.5722964763061968</v>
      </c>
      <c r="T46" s="26">
        <f t="shared" si="5"/>
        <v>2.5516403402187122</v>
      </c>
      <c r="U46" s="34">
        <f t="shared" si="6"/>
        <v>0.45565006075334141</v>
      </c>
      <c r="V46" s="13">
        <f t="shared" si="7"/>
        <v>6.57958687727825</v>
      </c>
      <c r="W46" s="123">
        <f t="shared" si="21"/>
        <v>0</v>
      </c>
      <c r="X46" s="4">
        <f t="shared" si="8"/>
        <v>6.57958687727825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5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5</v>
      </c>
      <c r="M47" s="27">
        <f t="shared" si="1"/>
        <v>10</v>
      </c>
      <c r="N47" s="32">
        <f t="shared" si="2"/>
        <v>15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2940</v>
      </c>
      <c r="P47" s="11">
        <f>D47*E47*INslave+D47*KLslave*F47+MUslave*E47*F47</f>
        <v>1050</v>
      </c>
      <c r="Q47" s="22">
        <f t="shared" si="3"/>
        <v>125</v>
      </c>
      <c r="R47" s="20">
        <f t="shared" si="22"/>
        <v>4115</v>
      </c>
      <c r="S47" s="33">
        <f t="shared" si="4"/>
        <v>3.5722964763061968</v>
      </c>
      <c r="T47" s="26">
        <f t="shared" si="5"/>
        <v>2.5516403402187122</v>
      </c>
      <c r="U47" s="34">
        <f t="shared" si="6"/>
        <v>0.45565006075334141</v>
      </c>
      <c r="V47" s="13">
        <f t="shared" si="7"/>
        <v>6.57958687727825</v>
      </c>
      <c r="W47" s="123">
        <f t="shared" si="21"/>
        <v>0</v>
      </c>
      <c r="X47" s="4">
        <f t="shared" si="8"/>
        <v>6.57958687727825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13.1591737545565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1"/>
        <v>10</v>
      </c>
      <c r="N48" s="32">
        <f t="shared" si="2"/>
        <v>15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2940</v>
      </c>
      <c r="P48" s="11">
        <f>E48*E48*INslave+E48*KLslave*F48+KLslave*E48*F48</f>
        <v>1050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22"/>
        <v>4115</v>
      </c>
      <c r="S48" s="33">
        <f t="shared" si="4"/>
        <v>3.5722964763061968</v>
      </c>
      <c r="T48" s="26">
        <f t="shared" si="5"/>
        <v>2.5516403402187122</v>
      </c>
      <c r="U48" s="34">
        <f t="shared" si="6"/>
        <v>0.45565006075334141</v>
      </c>
      <c r="V48" s="13">
        <f t="shared" si="7"/>
        <v>6.57958687727825</v>
      </c>
      <c r="W48" s="123">
        <f t="shared" si="21"/>
        <v>0</v>
      </c>
      <c r="X48" s="4">
        <f t="shared" si="8"/>
        <v>6.57958687727825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5.333333333333333</v>
      </c>
      <c r="M49" s="27">
        <f t="shared" si="1"/>
        <v>10.666666666666666</v>
      </c>
      <c r="N49" s="32">
        <f t="shared" si="2"/>
        <v>16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2996</v>
      </c>
      <c r="P49" s="11">
        <f>E49*E49*FFslave+E49*KLslave*H49+KLslave*E49*H49</f>
        <v>1165</v>
      </c>
      <c r="Q49" s="22">
        <f t="shared" si="23"/>
        <v>150</v>
      </c>
      <c r="R49" s="20">
        <f t="shared" si="22"/>
        <v>4311</v>
      </c>
      <c r="S49" s="33">
        <f t="shared" si="4"/>
        <v>3.7064872806000153</v>
      </c>
      <c r="T49" s="26">
        <f t="shared" si="5"/>
        <v>2.8825485192917344</v>
      </c>
      <c r="U49" s="34">
        <f t="shared" si="6"/>
        <v>0.55671537926235215</v>
      </c>
      <c r="V49" s="13">
        <f t="shared" si="7"/>
        <v>7.145751179154102</v>
      </c>
      <c r="W49" s="123">
        <f t="shared" si="21"/>
        <v>0</v>
      </c>
      <c r="X49" s="4">
        <f t="shared" si="8"/>
        <v>7.145751179154102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1"/>
        <v>10</v>
      </c>
      <c r="N50" s="32">
        <f t="shared" si="2"/>
        <v>15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2940</v>
      </c>
      <c r="P50" s="11">
        <f>E50*E50*INslave+E50*KLslave*F50+KLslave*E50*F50</f>
        <v>1050</v>
      </c>
      <c r="Q50" s="22">
        <f t="shared" si="23"/>
        <v>125</v>
      </c>
      <c r="R50" s="20">
        <f t="shared" si="22"/>
        <v>4115</v>
      </c>
      <c r="S50" s="33">
        <f t="shared" si="4"/>
        <v>3.5722964763061968</v>
      </c>
      <c r="T50" s="26">
        <f t="shared" si="5"/>
        <v>2.5516403402187122</v>
      </c>
      <c r="U50" s="34">
        <f t="shared" si="6"/>
        <v>0.45565006075334141</v>
      </c>
      <c r="V50" s="13">
        <f t="shared" si="7"/>
        <v>6.57958687727825</v>
      </c>
      <c r="W50" s="123">
        <f t="shared" si="21"/>
        <v>0</v>
      </c>
      <c r="X50" s="4">
        <f t="shared" si="8"/>
        <v>6.57958687727825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1"/>
        <v>10</v>
      </c>
      <c r="N51" s="32">
        <f t="shared" si="2"/>
        <v>15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2940</v>
      </c>
      <c r="P51" s="11">
        <f>E51*E51*INslave+E51*KLslave*F51+KLslave*E51*F51</f>
        <v>1050</v>
      </c>
      <c r="Q51" s="22">
        <f t="shared" si="23"/>
        <v>125</v>
      </c>
      <c r="R51" s="20">
        <f t="shared" si="22"/>
        <v>4115</v>
      </c>
      <c r="S51" s="33">
        <f t="shared" si="4"/>
        <v>3.5722964763061968</v>
      </c>
      <c r="T51" s="26">
        <f t="shared" si="5"/>
        <v>2.5516403402187122</v>
      </c>
      <c r="U51" s="34">
        <f t="shared" si="6"/>
        <v>0.45565006075334141</v>
      </c>
      <c r="V51" s="13">
        <f t="shared" si="7"/>
        <v>6.57958687727825</v>
      </c>
      <c r="W51" s="123">
        <f t="shared" si="21"/>
        <v>0</v>
      </c>
      <c r="X51" s="4">
        <f t="shared" si="8"/>
        <v>6.57958687727825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1"/>
        <v>10</v>
      </c>
      <c r="N52" s="32">
        <f t="shared" si="2"/>
        <v>15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2940</v>
      </c>
      <c r="P52" s="11">
        <f>E52*E52*INslave+E52*KLslave*F52+KLslave*E52*F52</f>
        <v>1050</v>
      </c>
      <c r="Q52" s="22">
        <f t="shared" si="23"/>
        <v>125</v>
      </c>
      <c r="R52" s="20">
        <f t="shared" si="22"/>
        <v>4115</v>
      </c>
      <c r="S52" s="33">
        <f t="shared" si="4"/>
        <v>3.5722964763061968</v>
      </c>
      <c r="T52" s="26">
        <f t="shared" si="5"/>
        <v>2.5516403402187122</v>
      </c>
      <c r="U52" s="34">
        <f t="shared" si="6"/>
        <v>0.45565006075334141</v>
      </c>
      <c r="V52" s="13">
        <f t="shared" si="7"/>
        <v>6.57958687727825</v>
      </c>
      <c r="W52" s="123">
        <f t="shared" si="21"/>
        <v>0</v>
      </c>
      <c r="X52" s="4">
        <f t="shared" si="8"/>
        <v>6.57958687727825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1"/>
        <v>10</v>
      </c>
      <c r="N53" s="32">
        <f t="shared" si="2"/>
        <v>15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2940</v>
      </c>
      <c r="P53" s="11">
        <f>E53*E53*INslave+E53*KLslave*F53+KLslave*E53*F53</f>
        <v>1050</v>
      </c>
      <c r="Q53" s="22">
        <f t="shared" si="23"/>
        <v>125</v>
      </c>
      <c r="R53" s="20">
        <f t="shared" si="22"/>
        <v>4115</v>
      </c>
      <c r="S53" s="33">
        <f t="shared" si="4"/>
        <v>3.5722964763061968</v>
      </c>
      <c r="T53" s="26">
        <f t="shared" si="5"/>
        <v>2.5516403402187122</v>
      </c>
      <c r="U53" s="34">
        <f t="shared" si="6"/>
        <v>0.45565006075334141</v>
      </c>
      <c r="V53" s="13">
        <f t="shared" si="7"/>
        <v>6.57958687727825</v>
      </c>
      <c r="W53" s="123">
        <f t="shared" si="21"/>
        <v>0</v>
      </c>
      <c r="X53" s="4">
        <f t="shared" si="8"/>
        <v>6.57958687727825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1"/>
        <v>10</v>
      </c>
      <c r="N54" s="36">
        <f t="shared" si="2"/>
        <v>15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2940</v>
      </c>
      <c r="P54" s="19">
        <f>E54*E54*INslave+E54*KLslave*F54+KLslave*E54*F54</f>
        <v>1050</v>
      </c>
      <c r="Q54" s="23">
        <f t="shared" si="23"/>
        <v>125</v>
      </c>
      <c r="R54" s="24">
        <f>SUM(O54:Q54)</f>
        <v>4115</v>
      </c>
      <c r="S54" s="37">
        <f t="shared" si="4"/>
        <v>3.5722964763061968</v>
      </c>
      <c r="T54" s="25">
        <f t="shared" si="5"/>
        <v>2.5516403402187122</v>
      </c>
      <c r="U54" s="38">
        <f t="shared" si="6"/>
        <v>0.45565006075334141</v>
      </c>
      <c r="V54" s="14">
        <f t="shared" si="7"/>
        <v>6.57958687727825</v>
      </c>
      <c r="W54" s="123">
        <f t="shared" si="21"/>
        <v>0</v>
      </c>
      <c r="X54" s="5">
        <f t="shared" si="8"/>
        <v>6.57958687727825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5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5.333333333333333</v>
      </c>
      <c r="M56" s="27">
        <f t="shared" si="1"/>
        <v>10.666666666666666</v>
      </c>
      <c r="N56" s="28">
        <f t="shared" si="2"/>
        <v>16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2996</v>
      </c>
      <c r="P56" s="11">
        <f>D56*E56*FFslave+D56*KLslave*H56+MUslave*E56*H56</f>
        <v>1165</v>
      </c>
      <c r="Q56" s="62">
        <f t="shared" si="3"/>
        <v>150</v>
      </c>
      <c r="R56" s="60">
        <f>SUM(O56:Q56)</f>
        <v>4311</v>
      </c>
      <c r="S56" s="29">
        <f t="shared" si="4"/>
        <v>3.7064872806000153</v>
      </c>
      <c r="T56" s="30">
        <f t="shared" si="5"/>
        <v>2.8825485192917344</v>
      </c>
      <c r="U56" s="31">
        <f t="shared" si="6"/>
        <v>0.55671537926235215</v>
      </c>
      <c r="V56" s="12">
        <f t="shared" si="7"/>
        <v>7.145751179154102</v>
      </c>
      <c r="W56" s="123">
        <f t="shared" ref="W56:W72" si="26">Istwerte</f>
        <v>0</v>
      </c>
      <c r="X56" s="3">
        <f t="shared" si="8"/>
        <v>7.145751179154102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21.437253537462304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7</v>
      </c>
      <c r="J57" s="21"/>
      <c r="K57" s="22">
        <f>Konvention_1slave-KKslave</f>
        <v>11</v>
      </c>
      <c r="L57" s="27">
        <f t="shared" si="24"/>
        <v>8</v>
      </c>
      <c r="M57" s="27">
        <f t="shared" si="1"/>
        <v>16</v>
      </c>
      <c r="N57" s="32">
        <f t="shared" si="2"/>
        <v>24</v>
      </c>
      <c r="O57" s="11">
        <f t="shared" si="25"/>
        <v>3020</v>
      </c>
      <c r="P57" s="11">
        <f>H57*I57*KKslave+H57*GEslave*K57+FFslave*I57*K57</f>
        <v>2129</v>
      </c>
      <c r="Q57" s="22">
        <f t="shared" si="3"/>
        <v>462</v>
      </c>
      <c r="R57" s="20">
        <f t="shared" ref="R57:R71" si="27">SUM(O57:Q57)</f>
        <v>5611</v>
      </c>
      <c r="S57" s="33">
        <f t="shared" si="4"/>
        <v>4.3058278381750137</v>
      </c>
      <c r="T57" s="26">
        <f t="shared" si="5"/>
        <v>6.0709320976653007</v>
      </c>
      <c r="U57" s="34">
        <f t="shared" si="6"/>
        <v>1.9761183389770094</v>
      </c>
      <c r="V57" s="13">
        <f t="shared" si="7"/>
        <v>12.352878274817325</v>
      </c>
      <c r="W57" s="123">
        <f t="shared" si="26"/>
        <v>0</v>
      </c>
      <c r="X57" s="4">
        <f t="shared" si="8"/>
        <v>12.352878274817325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25.4115130992693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6</v>
      </c>
      <c r="H58" s="21">
        <f>Konvention_1slave-FFslave</f>
        <v>6</v>
      </c>
      <c r="I58" s="21"/>
      <c r="J58" s="21">
        <f>Konvention_1slave-KOslave</f>
        <v>6</v>
      </c>
      <c r="K58" s="22"/>
      <c r="L58" s="27">
        <f t="shared" si="24"/>
        <v>6</v>
      </c>
      <c r="M58" s="27">
        <f t="shared" si="1"/>
        <v>12</v>
      </c>
      <c r="N58" s="32">
        <f t="shared" si="2"/>
        <v>18</v>
      </c>
      <c r="O58" s="11">
        <f t="shared" si="25"/>
        <v>3042</v>
      </c>
      <c r="P58" s="11">
        <f>G58*H58*KOslave+G58*FFslave*J58+CHslave*H58*J58</f>
        <v>1404</v>
      </c>
      <c r="Q58" s="22">
        <f t="shared" si="3"/>
        <v>216</v>
      </c>
      <c r="R58" s="20">
        <f t="shared" si="27"/>
        <v>4662</v>
      </c>
      <c r="S58" s="33">
        <f t="shared" si="4"/>
        <v>3.9150579150579152</v>
      </c>
      <c r="T58" s="26">
        <f t="shared" si="5"/>
        <v>3.6138996138996138</v>
      </c>
      <c r="U58" s="34">
        <f t="shared" si="6"/>
        <v>0.83397683397683398</v>
      </c>
      <c r="V58" s="13">
        <f t="shared" si="7"/>
        <v>8.3629343629343627</v>
      </c>
      <c r="W58" s="123">
        <f t="shared" si="26"/>
        <v>0</v>
      </c>
      <c r="X58" s="4">
        <f t="shared" si="8"/>
        <v>8.3629343629343627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8.3629343629343627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5</v>
      </c>
      <c r="G59" s="21">
        <f>Konvention_1slave-CHslave</f>
        <v>6</v>
      </c>
      <c r="H59" s="21"/>
      <c r="I59" s="21"/>
      <c r="J59" s="21"/>
      <c r="K59" s="22"/>
      <c r="L59" s="27">
        <f t="shared" si="24"/>
        <v>5.333333333333333</v>
      </c>
      <c r="M59" s="27">
        <f t="shared" si="1"/>
        <v>10.666666666666666</v>
      </c>
      <c r="N59" s="32">
        <f t="shared" si="2"/>
        <v>16</v>
      </c>
      <c r="O59" s="11">
        <f t="shared" si="25"/>
        <v>2996</v>
      </c>
      <c r="P59" s="11">
        <f>E59*F59*CHslave+E59*INslave*G59+KLslave*F59*G59</f>
        <v>1165</v>
      </c>
      <c r="Q59" s="22">
        <f t="shared" si="3"/>
        <v>150</v>
      </c>
      <c r="R59" s="20">
        <f t="shared" si="27"/>
        <v>4311</v>
      </c>
      <c r="S59" s="33">
        <f t="shared" si="4"/>
        <v>3.7064872806000153</v>
      </c>
      <c r="T59" s="26">
        <f t="shared" si="5"/>
        <v>2.8825485192917344</v>
      </c>
      <c r="U59" s="34">
        <f t="shared" si="6"/>
        <v>0.55671537926235215</v>
      </c>
      <c r="V59" s="13">
        <f t="shared" si="7"/>
        <v>7.145751179154102</v>
      </c>
      <c r="W59" s="123">
        <f t="shared" si="26"/>
        <v>0</v>
      </c>
      <c r="X59" s="4">
        <f t="shared" si="8"/>
        <v>7.145751179154102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14.291502358308204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5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5</v>
      </c>
      <c r="M60" s="27">
        <f t="shared" si="1"/>
        <v>10</v>
      </c>
      <c r="N60" s="32">
        <f t="shared" si="2"/>
        <v>15</v>
      </c>
      <c r="O60" s="11">
        <f t="shared" si="25"/>
        <v>2940</v>
      </c>
      <c r="P60" s="11">
        <f>D60*E60*INslave+D60*KLslave*F60+MUslave*E60*F60</f>
        <v>1050</v>
      </c>
      <c r="Q60" s="22">
        <f t="shared" si="3"/>
        <v>125</v>
      </c>
      <c r="R60" s="20">
        <f t="shared" si="27"/>
        <v>4115</v>
      </c>
      <c r="S60" s="33">
        <f t="shared" si="4"/>
        <v>3.5722964763061968</v>
      </c>
      <c r="T60" s="26">
        <f t="shared" si="5"/>
        <v>2.5516403402187122</v>
      </c>
      <c r="U60" s="34">
        <f t="shared" si="6"/>
        <v>0.45565006075334141</v>
      </c>
      <c r="V60" s="13">
        <f t="shared" si="7"/>
        <v>6.57958687727825</v>
      </c>
      <c r="W60" s="123">
        <f t="shared" si="26"/>
        <v>0</v>
      </c>
      <c r="X60" s="4">
        <f t="shared" si="8"/>
        <v>6.57958687727825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13.1591737545565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5.333333333333333</v>
      </c>
      <c r="M61" s="27">
        <f t="shared" si="1"/>
        <v>10.666666666666666</v>
      </c>
      <c r="N61" s="32">
        <f t="shared" si="2"/>
        <v>16</v>
      </c>
      <c r="O61" s="11">
        <f t="shared" si="25"/>
        <v>2996</v>
      </c>
      <c r="P61" s="11">
        <f>D61*F61*KOslave+D61*INslave*J61+MUslave*F61*J61</f>
        <v>1165</v>
      </c>
      <c r="Q61" s="22">
        <f t="shared" si="3"/>
        <v>150</v>
      </c>
      <c r="R61" s="20">
        <f t="shared" si="27"/>
        <v>4311</v>
      </c>
      <c r="S61" s="33">
        <f t="shared" si="4"/>
        <v>3.7064872806000153</v>
      </c>
      <c r="T61" s="26">
        <f t="shared" si="5"/>
        <v>2.8825485192917344</v>
      </c>
      <c r="U61" s="34">
        <f t="shared" si="6"/>
        <v>0.55671537926235215</v>
      </c>
      <c r="V61" s="13">
        <f t="shared" si="7"/>
        <v>7.145751179154102</v>
      </c>
      <c r="W61" s="123">
        <f t="shared" si="26"/>
        <v>0</v>
      </c>
      <c r="X61" s="4">
        <f t="shared" si="8"/>
        <v>7.145751179154102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14.291502358308204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6</v>
      </c>
      <c r="H62" s="21"/>
      <c r="I62" s="21"/>
      <c r="J62" s="21">
        <f>Konvention_1slave-KOslave</f>
        <v>6</v>
      </c>
      <c r="K62" s="22"/>
      <c r="L62" s="27">
        <f t="shared" si="24"/>
        <v>5.666666666666667</v>
      </c>
      <c r="M62" s="27">
        <f t="shared" si="1"/>
        <v>11.333333333333334</v>
      </c>
      <c r="N62" s="32">
        <f t="shared" si="2"/>
        <v>17</v>
      </c>
      <c r="O62" s="11">
        <f t="shared" si="25"/>
        <v>3029</v>
      </c>
      <c r="P62" s="11">
        <f>F62*G62*KOslave+F62*CHslave*J62+INslave*G62*J62</f>
        <v>1284</v>
      </c>
      <c r="Q62" s="22">
        <f t="shared" si="3"/>
        <v>180</v>
      </c>
      <c r="R62" s="20">
        <f t="shared" si="27"/>
        <v>4493</v>
      </c>
      <c r="S62" s="33">
        <f t="shared" si="4"/>
        <v>3.8202388901253808</v>
      </c>
      <c r="T62" s="26">
        <f t="shared" si="5"/>
        <v>3.2388159359002895</v>
      </c>
      <c r="U62" s="34">
        <f t="shared" si="6"/>
        <v>0.68105942577342538</v>
      </c>
      <c r="V62" s="13">
        <f t="shared" si="7"/>
        <v>7.7401142517990964</v>
      </c>
      <c r="W62" s="123">
        <f t="shared" si="26"/>
        <v>0</v>
      </c>
      <c r="X62" s="4">
        <f t="shared" si="8"/>
        <v>7.7401142517990964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15.480228503598193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5.666666666666667</v>
      </c>
      <c r="M63" s="27">
        <f t="shared" si="1"/>
        <v>11.333333333333334</v>
      </c>
      <c r="N63" s="32">
        <f t="shared" si="2"/>
        <v>17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3029</v>
      </c>
      <c r="P63" s="11">
        <f>E63*H63*FFslave+E63*FFslave*H63+KLslave*H63*H63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7"/>
        <v>4493</v>
      </c>
      <c r="S63" s="33">
        <f t="shared" si="4"/>
        <v>3.8202388901253808</v>
      </c>
      <c r="T63" s="26">
        <f t="shared" si="5"/>
        <v>3.2388159359002895</v>
      </c>
      <c r="U63" s="34">
        <f t="shared" si="6"/>
        <v>0.68105942577342538</v>
      </c>
      <c r="V63" s="13">
        <f t="shared" si="7"/>
        <v>7.7401142517990964</v>
      </c>
      <c r="W63" s="123">
        <f t="shared" si="26"/>
        <v>0</v>
      </c>
      <c r="X63" s="4">
        <f t="shared" si="8"/>
        <v>7.7401142517990964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7</v>
      </c>
      <c r="J64" s="21"/>
      <c r="K64" s="22">
        <f>Konvention_1slave-KKslave</f>
        <v>11</v>
      </c>
      <c r="L64" s="27">
        <f>(D64+E64+F64+G64+H64+I64+J64+K64)/3</f>
        <v>8</v>
      </c>
      <c r="M64" s="27">
        <f t="shared" si="1"/>
        <v>16</v>
      </c>
      <c r="N64" s="32">
        <f t="shared" si="2"/>
        <v>24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3020</v>
      </c>
      <c r="P64" s="11">
        <f>H64*I64*KKslave+H64*GEslave*K64+FFslave*I64*K64</f>
        <v>2129</v>
      </c>
      <c r="Q64" s="22">
        <f t="shared" si="3"/>
        <v>462</v>
      </c>
      <c r="R64" s="20">
        <f t="shared" si="27"/>
        <v>5611</v>
      </c>
      <c r="S64" s="33">
        <f t="shared" si="4"/>
        <v>4.3058278381750137</v>
      </c>
      <c r="T64" s="26">
        <f t="shared" si="5"/>
        <v>6.0709320976653007</v>
      </c>
      <c r="U64" s="34">
        <f t="shared" si="6"/>
        <v>1.9761183389770094</v>
      </c>
      <c r="V64" s="13">
        <f t="shared" si="7"/>
        <v>12.352878274817325</v>
      </c>
      <c r="W64" s="123">
        <f t="shared" si="26"/>
        <v>0</v>
      </c>
      <c r="X64" s="4">
        <f t="shared" si="8"/>
        <v>12.352878274817325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25.4115130992693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6</v>
      </c>
      <c r="I65" s="21"/>
      <c r="J65" s="21"/>
      <c r="K65" s="22"/>
      <c r="L65" s="27">
        <f>(F65+H65+H65)/3</f>
        <v>5.666666666666667</v>
      </c>
      <c r="M65" s="27">
        <f t="shared" si="1"/>
        <v>11.333333333333334</v>
      </c>
      <c r="N65" s="32">
        <f t="shared" si="2"/>
        <v>17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3029</v>
      </c>
      <c r="P65" s="11">
        <f>F65*H65*FFslave+F65*FFslave*H65+INslave*H65*H65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7"/>
        <v>4493</v>
      </c>
      <c r="S65" s="33">
        <f t="shared" si="4"/>
        <v>3.8202388901253808</v>
      </c>
      <c r="T65" s="26">
        <f t="shared" si="5"/>
        <v>3.2388159359002895</v>
      </c>
      <c r="U65" s="34">
        <f t="shared" si="6"/>
        <v>0.68105942577342538</v>
      </c>
      <c r="V65" s="13">
        <f t="shared" si="7"/>
        <v>7.7401142517990964</v>
      </c>
      <c r="W65" s="123">
        <f t="shared" si="26"/>
        <v>0</v>
      </c>
      <c r="X65" s="4">
        <f t="shared" si="8"/>
        <v>7.7401142517990964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7</v>
      </c>
      <c r="J66" s="21">
        <f>Konvention_1slave-KOslave</f>
        <v>6</v>
      </c>
      <c r="K66" s="22"/>
      <c r="L66" s="27">
        <f>(D66+E66+F66+G66+H66+I66+J66+K66)/3</f>
        <v>6.333333333333333</v>
      </c>
      <c r="M66" s="27">
        <f t="shared" si="1"/>
        <v>12.666666666666666</v>
      </c>
      <c r="N66" s="32">
        <f t="shared" si="2"/>
        <v>19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3055</v>
      </c>
      <c r="P66" s="11">
        <f>H66*I66*KOslave+H66*GEslave*J66+FFslave*I66*J66</f>
        <v>1524</v>
      </c>
      <c r="Q66" s="22">
        <f t="shared" si="3"/>
        <v>252</v>
      </c>
      <c r="R66" s="20">
        <f t="shared" si="27"/>
        <v>4831</v>
      </c>
      <c r="S66" s="33">
        <f t="shared" si="4"/>
        <v>4.0050369143724556</v>
      </c>
      <c r="T66" s="26">
        <f t="shared" si="5"/>
        <v>3.9958600703788036</v>
      </c>
      <c r="U66" s="34">
        <f t="shared" si="6"/>
        <v>0.99109915131442761</v>
      </c>
      <c r="V66" s="13">
        <f t="shared" si="7"/>
        <v>8.991996136065687</v>
      </c>
      <c r="W66" s="123">
        <f t="shared" si="26"/>
        <v>0</v>
      </c>
      <c r="X66" s="4">
        <f t="shared" si="8"/>
        <v>8.991996136065687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17.983992272131374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6</v>
      </c>
      <c r="I67" s="21"/>
      <c r="J67" s="21"/>
      <c r="K67" s="22"/>
      <c r="L67" s="27">
        <f>(F67+H67+H67)/3</f>
        <v>5.666666666666667</v>
      </c>
      <c r="M67" s="27">
        <f t="shared" si="1"/>
        <v>11.333333333333334</v>
      </c>
      <c r="N67" s="32">
        <f t="shared" si="2"/>
        <v>17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3029</v>
      </c>
      <c r="P67" s="11">
        <f>F67*H67*FFslave+F67*FFslave*H67+INslave*H67*H67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7"/>
        <v>4493</v>
      </c>
      <c r="S67" s="33">
        <f t="shared" si="4"/>
        <v>3.8202388901253808</v>
      </c>
      <c r="T67" s="26">
        <f t="shared" si="5"/>
        <v>3.2388159359002895</v>
      </c>
      <c r="U67" s="34">
        <f t="shared" si="6"/>
        <v>0.68105942577342538</v>
      </c>
      <c r="V67" s="13">
        <f t="shared" si="7"/>
        <v>7.7401142517990964</v>
      </c>
      <c r="W67" s="123">
        <f t="shared" si="26"/>
        <v>0</v>
      </c>
      <c r="X67" s="4">
        <f t="shared" si="8"/>
        <v>7.7401142517990964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6</v>
      </c>
      <c r="K68" s="22">
        <f>Konvention_1slave-KKslave</f>
        <v>11</v>
      </c>
      <c r="L68" s="27">
        <f>(D68+E68+F68+G68+H68+I68+J68+K68)/3</f>
        <v>7.666666666666667</v>
      </c>
      <c r="M68" s="27">
        <f t="shared" si="1"/>
        <v>15.333333333333334</v>
      </c>
      <c r="N68" s="32">
        <f t="shared" si="2"/>
        <v>23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3107</v>
      </c>
      <c r="P68" s="11">
        <f>H68*J68*KKslave+H68*KOslave*K68+FFslave*J68*K68</f>
        <v>2004</v>
      </c>
      <c r="Q68" s="22">
        <f>IFERROR(D68^SIGN(D68),1)*IFERROR(E68^SIGN(E68),1)*IFERROR(F68^SIGN(F68),1)*IFERROR(G68^SIGN(G68),1)*IFERROR(H68^SIGN(H68),1)*IFERROR(I68^SIGN(I68),1)*IFERROR(J68^SIGN(J68),1)*IFERROR(K68^SIGN(K68),1)</f>
        <v>396</v>
      </c>
      <c r="R68" s="20">
        <f t="shared" si="27"/>
        <v>5507</v>
      </c>
      <c r="S68" s="33">
        <f t="shared" si="4"/>
        <v>4.3254645602566439</v>
      </c>
      <c r="T68" s="26">
        <f t="shared" si="5"/>
        <v>5.5798075177047393</v>
      </c>
      <c r="U68" s="34">
        <f t="shared" si="6"/>
        <v>1.6538950426729617</v>
      </c>
      <c r="V68" s="13">
        <f t="shared" si="7"/>
        <v>11.559167120634346</v>
      </c>
      <c r="W68" s="123">
        <f t="shared" si="26"/>
        <v>0</v>
      </c>
      <c r="X68" s="4">
        <f t="shared" si="8"/>
        <v>11.559167120634346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34.67750136190304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6</v>
      </c>
      <c r="H69" s="21">
        <f t="shared" si="28"/>
        <v>6</v>
      </c>
      <c r="I69" s="21"/>
      <c r="J69" s="21">
        <f>Konvention_1slave-KOslave</f>
        <v>6</v>
      </c>
      <c r="K69" s="22"/>
      <c r="L69" s="27">
        <f>(D69+E69+F69+G69+H69+I69+J69+K69)/3</f>
        <v>6</v>
      </c>
      <c r="M69" s="27">
        <f t="shared" si="1"/>
        <v>12</v>
      </c>
      <c r="N69" s="32">
        <f t="shared" si="2"/>
        <v>18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3042</v>
      </c>
      <c r="P69" s="11">
        <f>G69*H69*KOslave+G69*FFslave*J69+CHslave*H69*J69</f>
        <v>1404</v>
      </c>
      <c r="Q69" s="22">
        <f>IFERROR(D69^SIGN(D69),1)*IFERROR(E69^SIGN(E69),1)*IFERROR(F69^SIGN(F69),1)*IFERROR(G69^SIGN(G69),1)*IFERROR(H69^SIGN(H69),1)*IFERROR(I69^SIGN(I69),1)*IFERROR(J69^SIGN(J69),1)*IFERROR(K69^SIGN(K69),1)</f>
        <v>216</v>
      </c>
      <c r="R69" s="20">
        <f t="shared" si="27"/>
        <v>4662</v>
      </c>
      <c r="S69" s="33">
        <f t="shared" si="4"/>
        <v>3.9150579150579152</v>
      </c>
      <c r="T69" s="26">
        <f t="shared" si="5"/>
        <v>3.6138996138996138</v>
      </c>
      <c r="U69" s="34">
        <f t="shared" si="6"/>
        <v>0.83397683397683398</v>
      </c>
      <c r="V69" s="13">
        <f t="shared" si="7"/>
        <v>8.3629343629343627</v>
      </c>
      <c r="W69" s="123">
        <f t="shared" si="26"/>
        <v>0</v>
      </c>
      <c r="X69" s="4">
        <f t="shared" si="8"/>
        <v>8.3629343629343627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8.3629343629343627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6</v>
      </c>
      <c r="I70" s="21"/>
      <c r="J70" s="21"/>
      <c r="K70" s="22"/>
      <c r="L70" s="27">
        <f>(F70+H70+H70)/3</f>
        <v>5.666666666666667</v>
      </c>
      <c r="M70" s="27">
        <f t="shared" si="1"/>
        <v>11.333333333333334</v>
      </c>
      <c r="N70" s="32">
        <f t="shared" si="2"/>
        <v>17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3029</v>
      </c>
      <c r="P70" s="11">
        <f>F70*H70*FFslave+F70*FFslave*H70+INslave*H70*H70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7"/>
        <v>4493</v>
      </c>
      <c r="S70" s="33">
        <f t="shared" si="4"/>
        <v>3.8202388901253808</v>
      </c>
      <c r="T70" s="26">
        <f t="shared" si="5"/>
        <v>3.2388159359002895</v>
      </c>
      <c r="U70" s="34">
        <f t="shared" si="6"/>
        <v>0.68105942577342538</v>
      </c>
      <c r="V70" s="13">
        <f t="shared" si="7"/>
        <v>7.7401142517990964</v>
      </c>
      <c r="W70" s="123">
        <f t="shared" si="26"/>
        <v>0</v>
      </c>
      <c r="X70" s="4">
        <f t="shared" si="8"/>
        <v>7.7401142517990964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11</v>
      </c>
      <c r="L71" s="27">
        <f>(H71+H71+K71)/3</f>
        <v>7.666666666666667</v>
      </c>
      <c r="M71" s="27">
        <f t="shared" si="1"/>
        <v>15.333333333333334</v>
      </c>
      <c r="N71" s="32">
        <f t="shared" si="2"/>
        <v>23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3107</v>
      </c>
      <c r="P71" s="11">
        <f>H71*H71*KKslave+H71*FFslave*K71+FFslave*H71*K71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7"/>
        <v>5507</v>
      </c>
      <c r="S71" s="33">
        <f t="shared" si="4"/>
        <v>4.3254645602566439</v>
      </c>
      <c r="T71" s="26">
        <f t="shared" si="5"/>
        <v>5.5798075177047393</v>
      </c>
      <c r="U71" s="34">
        <f t="shared" si="6"/>
        <v>1.6538950426729617</v>
      </c>
      <c r="V71" s="13">
        <f t="shared" si="7"/>
        <v>11.559167120634346</v>
      </c>
      <c r="W71" s="123">
        <f t="shared" si="26"/>
        <v>0</v>
      </c>
      <c r="X71" s="4">
        <f t="shared" si="8"/>
        <v>11.559167120634346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5.666666666666667</v>
      </c>
      <c r="M72" s="25">
        <f t="shared" si="1"/>
        <v>11.333333333333334</v>
      </c>
      <c r="N72" s="36">
        <f t="shared" si="2"/>
        <v>17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3029</v>
      </c>
      <c r="P72" s="19">
        <f>E72*H72*FFslave+E72*FFslave*H72+KLslave*H72*H72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4"/>
        <v>3.8202388901253808</v>
      </c>
      <c r="T72" s="25">
        <f t="shared" si="5"/>
        <v>3.2388159359002895</v>
      </c>
      <c r="U72" s="38">
        <f t="shared" si="6"/>
        <v>0.68105942577342538</v>
      </c>
      <c r="V72" s="14">
        <f t="shared" si="7"/>
        <v>7.7401142517990964</v>
      </c>
      <c r="W72" s="123">
        <f t="shared" si="26"/>
        <v>0</v>
      </c>
      <c r="X72" s="5">
        <f t="shared" si="8"/>
        <v>7.7401142517990964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3008.6440677966102</v>
      </c>
      <c r="P74" s="30">
        <f>AVERAGE(P10:P72)</f>
        <v>1365.542372881356</v>
      </c>
      <c r="Q74" s="31">
        <f>AVERAGE(Q10:Q72)</f>
        <v>211.96610169491527</v>
      </c>
      <c r="R74" s="31">
        <f>O74+P74+Q74</f>
        <v>4586.1525423728808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113.375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8.2129309706115237</v>
      </c>
      <c r="W75" s="56">
        <f>W78/COUNT(W10:W72)</f>
        <v>0</v>
      </c>
      <c r="X75" s="56">
        <f>X78/COUNTIF(X10:X72,"&gt;0")</f>
        <v>8.2129309706115237</v>
      </c>
      <c r="Y75" s="134">
        <v>0</v>
      </c>
      <c r="Z75" s="74">
        <f>Z78/COUNTIF(Z10:Z72,"&gt;0")</f>
        <v>17.400420095731299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140</v>
      </c>
      <c r="F78" s="45">
        <f t="shared" si="29"/>
        <v>150</v>
      </c>
      <c r="G78" s="45">
        <f t="shared" si="29"/>
        <v>108</v>
      </c>
      <c r="H78" s="45">
        <f t="shared" si="29"/>
        <v>114</v>
      </c>
      <c r="I78" s="45">
        <f t="shared" si="29"/>
        <v>105</v>
      </c>
      <c r="J78" s="45">
        <f t="shared" si="29"/>
        <v>90</v>
      </c>
      <c r="K78" s="46">
        <f t="shared" si="29"/>
        <v>110</v>
      </c>
      <c r="L78" s="50">
        <f>SUM(L10:L72)</f>
        <v>347.33333333333343</v>
      </c>
      <c r="M78" s="51">
        <f>SUM(M10:M72)</f>
        <v>694.66666666666686</v>
      </c>
      <c r="N78" s="52">
        <f>SUM(N10:N72)</f>
        <v>1042</v>
      </c>
      <c r="O78" s="47">
        <f>O74/O76</f>
        <v>0.43864179440102202</v>
      </c>
      <c r="P78" s="48">
        <f>P74/P76</f>
        <v>0.19908767646615483</v>
      </c>
      <c r="Q78" s="49">
        <f>Q74/Q76</f>
        <v>3.0903353505600709E-2</v>
      </c>
      <c r="R78" s="47">
        <f>O78+P78+Q78</f>
        <v>0.66863282437277749</v>
      </c>
      <c r="S78" s="47">
        <f>L78*O74/R74</f>
        <v>227.86036077654555</v>
      </c>
      <c r="T78" s="48">
        <f>M78*P74/R74</f>
        <v>206.83934073217222</v>
      </c>
      <c r="U78" s="49">
        <f>N78*Q74/R74</f>
        <v>48.159906572105427</v>
      </c>
      <c r="V78" s="53">
        <f>SUMIF(V10:V72,"&gt;0")</f>
        <v>484.5629272660799</v>
      </c>
      <c r="W78" s="66">
        <f>SUM(W10:W72)</f>
        <v>0</v>
      </c>
      <c r="X78" s="53">
        <f>SUMIF(X10:X72,"&gt;0")</f>
        <v>484.5629272660799</v>
      </c>
      <c r="Y78" s="53">
        <f>SUMIF(Y10:Y72,"&gt;0")</f>
        <v>0</v>
      </c>
      <c r="Z78" s="86">
        <f>SUMIF(Z10:Z72,"&gt;0")</f>
        <v>1026.6247856481466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3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9" priority="74" operator="lessThanOrEqual">
      <formula>0</formula>
    </cfRule>
  </conditionalFormatting>
  <conditionalFormatting sqref="J75:K75 D78:K78">
    <cfRule type="colorScale" priority="73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8" priority="9" operator="lessThanOrEqual">
      <formula>0</formula>
    </cfRule>
  </conditionalFormatting>
  <conditionalFormatting sqref="X56:X75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1"/>
  <sheetViews>
    <sheetView topLeftCell="A52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</f>
        <v>14</v>
      </c>
      <c r="F2" s="95">
        <f>INmaster</f>
        <v>14</v>
      </c>
      <c r="G2" s="95">
        <f>CHmaster</f>
        <v>12</v>
      </c>
      <c r="H2" s="95">
        <f>FFmaster+1</f>
        <v>14</v>
      </c>
      <c r="I2" s="95">
        <f>GEmaster</f>
        <v>12</v>
      </c>
      <c r="J2" s="95">
        <f>KOmaster</f>
        <v>13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555</v>
      </c>
      <c r="M5" s="92">
        <f>W81</f>
        <v>0</v>
      </c>
      <c r="N5" s="93">
        <f>L5+M5</f>
        <v>555</v>
      </c>
      <c r="O5" s="125">
        <v>1100</v>
      </c>
      <c r="P5" s="94">
        <f>O5-N5</f>
        <v>545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5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5.666666666666667</v>
      </c>
      <c r="M10" s="27">
        <f>2*L10</f>
        <v>11.333333333333334</v>
      </c>
      <c r="N10" s="28">
        <f>3*L10</f>
        <v>17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3052</v>
      </c>
      <c r="P10" s="11">
        <f>D10*F10*GEslave+D10*INslave*I10+MUslave*F10*I10</f>
        <v>1280</v>
      </c>
      <c r="Q10" s="62">
        <f>IFERROR(D10^SIGN(D10),1)*IFERROR(E10^SIGN(E10),1)*IFERROR(F10^SIGN(F10),1)*IFERROR(G10^SIGN(G10),1)*IFERROR(H10^SIGN(H10),1)*IFERROR(I10^SIGN(I10),1)*IFERROR(J10^SIGN(J10),1)*IFERROR(K10^SIGN(K10),1)</f>
        <v>175</v>
      </c>
      <c r="R10" s="60">
        <f>SUM(O10:Q10)</f>
        <v>4507</v>
      </c>
      <c r="S10" s="29">
        <f>L10*O10/R10</f>
        <v>3.8372901412617413</v>
      </c>
      <c r="T10" s="30">
        <f>M10*P10/R10</f>
        <v>3.2186968419495603</v>
      </c>
      <c r="U10" s="31">
        <f>N10*Q10/R10</f>
        <v>0.66008431329043715</v>
      </c>
      <c r="V10" s="3">
        <f>SUM(S10:U10)</f>
        <v>7.7160712965017391</v>
      </c>
      <c r="W10" s="129">
        <f t="shared" ref="W10:W23" si="0">Istwerte</f>
        <v>0</v>
      </c>
      <c r="X10" s="3">
        <f>V10-W10</f>
        <v>7.7160712965017391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15.432142593003478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7</v>
      </c>
      <c r="H11" s="21">
        <f>Konvention_1slave-FFslave</f>
        <v>5</v>
      </c>
      <c r="I11" s="21"/>
      <c r="J11" s="21"/>
      <c r="K11" s="22"/>
      <c r="L11" s="27">
        <f>(D11+E11+F11+G11+H11+I11+J11+K11)/3</f>
        <v>5.666666666666667</v>
      </c>
      <c r="M11" s="27">
        <f t="shared" ref="M11:M72" si="1">2*L11</f>
        <v>11.333333333333334</v>
      </c>
      <c r="N11" s="32">
        <f t="shared" ref="N11:N72" si="2">3*L11</f>
        <v>17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3052</v>
      </c>
      <c r="P11" s="11">
        <f>D11*G11*FFslave+D11*CHslave*H11+MUslave*G11*H11</f>
        <v>1280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175</v>
      </c>
      <c r="R11" s="20">
        <f>SUM(O11:Q11)</f>
        <v>4507</v>
      </c>
      <c r="S11" s="33">
        <f t="shared" ref="S11:S72" si="4">L11*O11/R11</f>
        <v>3.8372901412617413</v>
      </c>
      <c r="T11" s="26">
        <f t="shared" ref="T11:T72" si="5">M11*P11/R11</f>
        <v>3.2186968419495603</v>
      </c>
      <c r="U11" s="34">
        <f t="shared" ref="U11:U72" si="6">N11*Q11/R11</f>
        <v>0.66008431329043715</v>
      </c>
      <c r="V11" s="4">
        <f t="shared" ref="V11:V72" si="7">SUM(S11:U11)</f>
        <v>7.7160712965017391</v>
      </c>
      <c r="W11" s="123">
        <f t="shared" si="0"/>
        <v>0</v>
      </c>
      <c r="X11" s="4">
        <f t="shared" ref="X11:X72" si="8">V11-W11</f>
        <v>7.7160712965017391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7.7160712965017391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11</v>
      </c>
      <c r="L12" s="27">
        <f>(D12+E12+F12+G12+H12+I12+J12+K12)/3</f>
        <v>7.666666666666667</v>
      </c>
      <c r="M12" s="27">
        <f t="shared" si="1"/>
        <v>15.333333333333334</v>
      </c>
      <c r="N12" s="32">
        <f t="shared" si="2"/>
        <v>23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3112</v>
      </c>
      <c r="P12" s="11">
        <f>D12*I12*KKslave+D12*GEslave*K12+MUslave*I12*K12</f>
        <v>2018</v>
      </c>
      <c r="Q12" s="22">
        <f t="shared" si="3"/>
        <v>385</v>
      </c>
      <c r="R12" s="20">
        <f t="shared" ref="R12:R22" si="10">SUM(O12:Q12)</f>
        <v>5515</v>
      </c>
      <c r="S12" s="33">
        <f t="shared" si="4"/>
        <v>4.3261408280447267</v>
      </c>
      <c r="T12" s="26">
        <f t="shared" si="5"/>
        <v>5.6106376548806285</v>
      </c>
      <c r="U12" s="34">
        <f t="shared" si="6"/>
        <v>1.6056210335448775</v>
      </c>
      <c r="V12" s="4">
        <f t="shared" si="7"/>
        <v>11.542399516470233</v>
      </c>
      <c r="W12" s="123">
        <f t="shared" si="0"/>
        <v>0</v>
      </c>
      <c r="X12" s="4">
        <f t="shared" si="8"/>
        <v>11.542399516470233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23.084799032940467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6</v>
      </c>
      <c r="K13" s="22"/>
      <c r="L13" s="27">
        <f>(I13+I13+J13)/3</f>
        <v>6.666666666666667</v>
      </c>
      <c r="M13" s="27">
        <f t="shared" si="1"/>
        <v>13.333333333333334</v>
      </c>
      <c r="N13" s="32">
        <f t="shared" si="2"/>
        <v>20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3048</v>
      </c>
      <c r="P13" s="11">
        <f>I13*I13*KOslave+I13*GEslave*J13+GEslave*I13*J13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10"/>
        <v>4987</v>
      </c>
      <c r="S13" s="33">
        <f t="shared" si="4"/>
        <v>4.0745939442550636</v>
      </c>
      <c r="T13" s="26">
        <f t="shared" si="5"/>
        <v>4.3981017311677029</v>
      </c>
      <c r="U13" s="34">
        <f t="shared" si="6"/>
        <v>1.1790655704832564</v>
      </c>
      <c r="V13" s="4">
        <f t="shared" si="7"/>
        <v>9.6517612459060231</v>
      </c>
      <c r="W13" s="123">
        <f t="shared" si="0"/>
        <v>0</v>
      </c>
      <c r="X13" s="4">
        <f t="shared" si="8"/>
        <v>9.6517612459060231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11</v>
      </c>
      <c r="L14" s="27">
        <f>(J14+K14+K14)/3</f>
        <v>9.3333333333333339</v>
      </c>
      <c r="M14" s="27">
        <f t="shared" si="1"/>
        <v>18.666666666666668</v>
      </c>
      <c r="N14" s="32">
        <f t="shared" si="2"/>
        <v>28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2672</v>
      </c>
      <c r="P14" s="11">
        <f>J14*K14*KKslave+J14*KKslave*K14+KOslave*K14*K14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10"/>
        <v>6027</v>
      </c>
      <c r="S14" s="33">
        <f t="shared" si="4"/>
        <v>4.137824235385211</v>
      </c>
      <c r="T14" s="26">
        <f t="shared" si="5"/>
        <v>8.1424699961285327</v>
      </c>
      <c r="U14" s="34">
        <f t="shared" si="6"/>
        <v>3.3728222996515678</v>
      </c>
      <c r="V14" s="4">
        <f t="shared" si="7"/>
        <v>15.65311653116531</v>
      </c>
      <c r="W14" s="123">
        <f t="shared" si="0"/>
        <v>0</v>
      </c>
      <c r="X14" s="4">
        <f t="shared" si="8"/>
        <v>15.65311653116531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7</v>
      </c>
      <c r="J15" s="21"/>
      <c r="K15" s="22">
        <f>Konvention_1slave-KKslave</f>
        <v>11</v>
      </c>
      <c r="L15" s="27">
        <f>(D15+E15+F15+G15+H15+I15+J15+K15)/3</f>
        <v>8.3333333333333339</v>
      </c>
      <c r="M15" s="27">
        <f t="shared" si="1"/>
        <v>16.666666666666668</v>
      </c>
      <c r="N15" s="32">
        <f t="shared" si="2"/>
        <v>25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2928</v>
      </c>
      <c r="P15" s="11">
        <f>G15*I15*KKslave+G15*GEslave*K15+CHslave*I15*K15</f>
        <v>2240</v>
      </c>
      <c r="Q15" s="22">
        <f t="shared" si="3"/>
        <v>539</v>
      </c>
      <c r="R15" s="20">
        <f t="shared" si="10"/>
        <v>5707</v>
      </c>
      <c r="S15" s="33">
        <f t="shared" si="4"/>
        <v>4.2754512002803571</v>
      </c>
      <c r="T15" s="26">
        <f t="shared" si="5"/>
        <v>6.541673967642077</v>
      </c>
      <c r="U15" s="34">
        <f t="shared" si="6"/>
        <v>2.361135447695812</v>
      </c>
      <c r="V15" s="4">
        <f t="shared" si="7"/>
        <v>13.178260615618246</v>
      </c>
      <c r="W15" s="123">
        <f t="shared" si="0"/>
        <v>0</v>
      </c>
      <c r="X15" s="4">
        <f t="shared" si="8"/>
        <v>13.178260615618246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29.069563693709476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6</v>
      </c>
      <c r="K16" s="22">
        <f>Konvention_1slave-KKslave</f>
        <v>11</v>
      </c>
      <c r="L16" s="27">
        <f>(D16+E16+F16+G16+H16+I16+J16+K16)/3</f>
        <v>8</v>
      </c>
      <c r="M16" s="27">
        <f t="shared" si="1"/>
        <v>16</v>
      </c>
      <c r="N16" s="32">
        <f t="shared" si="2"/>
        <v>24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3020</v>
      </c>
      <c r="P16" s="11">
        <f>I16*J16*KKslave+I16*KOslave*K16+GEslave*J16*K16</f>
        <v>2129</v>
      </c>
      <c r="Q16" s="22">
        <f t="shared" si="3"/>
        <v>462</v>
      </c>
      <c r="R16" s="20">
        <f t="shared" si="10"/>
        <v>5611</v>
      </c>
      <c r="S16" s="33">
        <f t="shared" si="4"/>
        <v>4.3058278381750137</v>
      </c>
      <c r="T16" s="26">
        <f t="shared" si="5"/>
        <v>6.0709320976653007</v>
      </c>
      <c r="U16" s="34">
        <f t="shared" si="6"/>
        <v>1.9761183389770094</v>
      </c>
      <c r="V16" s="4">
        <f t="shared" si="7"/>
        <v>12.352878274817325</v>
      </c>
      <c r="W16" s="123">
        <f t="shared" si="0"/>
        <v>0</v>
      </c>
      <c r="X16" s="4">
        <f t="shared" si="8"/>
        <v>12.352878274817325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25.4115130992693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5.333333333333333</v>
      </c>
      <c r="M17" s="27">
        <f t="shared" si="1"/>
        <v>10.666666666666666</v>
      </c>
      <c r="N17" s="32">
        <f t="shared" si="2"/>
        <v>16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2996</v>
      </c>
      <c r="P17" s="11">
        <f>D17*D17*KOslave+D17*MUslave*J17+MUslave*D17*J17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10"/>
        <v>4311</v>
      </c>
      <c r="S17" s="33">
        <f t="shared" si="4"/>
        <v>3.7064872806000153</v>
      </c>
      <c r="T17" s="26">
        <f t="shared" si="5"/>
        <v>2.8825485192917344</v>
      </c>
      <c r="U17" s="34">
        <f t="shared" si="6"/>
        <v>0.55671537926235215</v>
      </c>
      <c r="V17" s="4">
        <f t="shared" si="7"/>
        <v>7.145751179154102</v>
      </c>
      <c r="W17" s="123">
        <f t="shared" si="0"/>
        <v>0</v>
      </c>
      <c r="X17" s="4">
        <f t="shared" si="8"/>
        <v>7.145751179154102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7</v>
      </c>
      <c r="H18" s="21"/>
      <c r="I18" s="21"/>
      <c r="J18" s="21">
        <f>Konvention_1slave-KOslave</f>
        <v>6</v>
      </c>
      <c r="K18" s="22"/>
      <c r="L18" s="27">
        <f>(D18+E18+F18+G18+H18+I18+J18+K18)/3</f>
        <v>6</v>
      </c>
      <c r="M18" s="27">
        <f t="shared" si="1"/>
        <v>12</v>
      </c>
      <c r="N18" s="32">
        <f t="shared" si="2"/>
        <v>18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3062</v>
      </c>
      <c r="P18" s="11">
        <f>E18*G18*KOslave+E18*CHslave*J18+KLslave*G18*J18</f>
        <v>1403</v>
      </c>
      <c r="Q18" s="22">
        <f t="shared" si="3"/>
        <v>210</v>
      </c>
      <c r="R18" s="20">
        <f t="shared" si="10"/>
        <v>4675</v>
      </c>
      <c r="S18" s="33">
        <f t="shared" si="4"/>
        <v>3.9298395721925132</v>
      </c>
      <c r="T18" s="26">
        <f t="shared" si="5"/>
        <v>3.6012834224598929</v>
      </c>
      <c r="U18" s="34">
        <f t="shared" si="6"/>
        <v>0.80855614973262036</v>
      </c>
      <c r="V18" s="4">
        <f t="shared" si="7"/>
        <v>8.3396791443850269</v>
      </c>
      <c r="W18" s="123">
        <f t="shared" si="0"/>
        <v>0</v>
      </c>
      <c r="X18" s="4">
        <f t="shared" si="8"/>
        <v>8.3396791443850269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8.3396791443850269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1"/>
        <v>10</v>
      </c>
      <c r="N19" s="32">
        <f t="shared" si="2"/>
        <v>15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2940</v>
      </c>
      <c r="P19" s="11">
        <f>E19*F19*INslave+E19*INslave*F19+KLslave*F19*F19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10"/>
        <v>4115</v>
      </c>
      <c r="S19" s="33">
        <f t="shared" si="4"/>
        <v>3.5722964763061968</v>
      </c>
      <c r="T19" s="26">
        <f t="shared" si="5"/>
        <v>2.5516403402187122</v>
      </c>
      <c r="U19" s="34">
        <f t="shared" si="6"/>
        <v>0.45565006075334141</v>
      </c>
      <c r="V19" s="4">
        <f t="shared" si="7"/>
        <v>6.57958687727825</v>
      </c>
      <c r="W19" s="123">
        <f t="shared" si="0"/>
        <v>0</v>
      </c>
      <c r="X19" s="4">
        <f t="shared" si="8"/>
        <v>6.57958687727825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7</v>
      </c>
      <c r="H20" s="21"/>
      <c r="I20" s="21">
        <f>Konvention_1slave-GEslave</f>
        <v>7</v>
      </c>
      <c r="J20" s="21"/>
      <c r="K20" s="22"/>
      <c r="L20" s="27">
        <f>(D20+E20+F20+G20+H20+I20+J20+K20)/3</f>
        <v>6.333333333333333</v>
      </c>
      <c r="M20" s="27">
        <f t="shared" si="1"/>
        <v>12.666666666666666</v>
      </c>
      <c r="N20" s="32">
        <f t="shared" si="2"/>
        <v>19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3072</v>
      </c>
      <c r="P20" s="11">
        <f>E20*G20*GEslave+E20*CHslave*I20+KLslave*G20*I20</f>
        <v>1526</v>
      </c>
      <c r="Q20" s="22">
        <f t="shared" si="3"/>
        <v>245</v>
      </c>
      <c r="R20" s="20">
        <f t="shared" si="10"/>
        <v>4843</v>
      </c>
      <c r="S20" s="33">
        <f t="shared" si="4"/>
        <v>4.0173446211026222</v>
      </c>
      <c r="T20" s="26">
        <f t="shared" si="5"/>
        <v>3.9911900337256521</v>
      </c>
      <c r="U20" s="34">
        <f t="shared" si="6"/>
        <v>0.96118108610365471</v>
      </c>
      <c r="V20" s="4">
        <f t="shared" si="7"/>
        <v>8.9697157409319281</v>
      </c>
      <c r="W20" s="123">
        <f t="shared" si="0"/>
        <v>0</v>
      </c>
      <c r="X20" s="4">
        <f t="shared" si="8"/>
        <v>8.9697157409319281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8.9697157409319281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5</v>
      </c>
      <c r="I21" s="21">
        <f>Konvention_1slave-GEslave</f>
        <v>7</v>
      </c>
      <c r="J21" s="21"/>
      <c r="K21" s="22"/>
      <c r="L21" s="27">
        <f>(D21+E21+F21+G21+H21+I21+J21+K21)/3</f>
        <v>5.666666666666667</v>
      </c>
      <c r="M21" s="27">
        <f t="shared" si="1"/>
        <v>11.333333333333334</v>
      </c>
      <c r="N21" s="32">
        <f t="shared" si="2"/>
        <v>17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3052</v>
      </c>
      <c r="P21" s="11">
        <f>D21*H21*GEslave+D21*FFslave*I21+MUslave*H21*I21</f>
        <v>1280</v>
      </c>
      <c r="Q21" s="22">
        <f t="shared" si="3"/>
        <v>175</v>
      </c>
      <c r="R21" s="20">
        <f t="shared" si="10"/>
        <v>4507</v>
      </c>
      <c r="S21" s="33">
        <f t="shared" si="4"/>
        <v>3.8372901412617413</v>
      </c>
      <c r="T21" s="26">
        <f t="shared" si="5"/>
        <v>3.2186968419495603</v>
      </c>
      <c r="U21" s="34">
        <f t="shared" si="6"/>
        <v>0.66008431329043715</v>
      </c>
      <c r="V21" s="4">
        <f t="shared" si="7"/>
        <v>7.7160712965017391</v>
      </c>
      <c r="W21" s="123">
        <f t="shared" si="0"/>
        <v>0</v>
      </c>
      <c r="X21" s="4">
        <f t="shared" si="8"/>
        <v>7.7160712965017391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15.432142593003478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5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5.666666666666667</v>
      </c>
      <c r="M22" s="27">
        <f t="shared" si="1"/>
        <v>11.333333333333334</v>
      </c>
      <c r="N22" s="32">
        <f t="shared" si="2"/>
        <v>17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3052</v>
      </c>
      <c r="P22" s="11">
        <f>D22*F22*GEslave+D22*INslave*I22+MUslave*F22*I22</f>
        <v>1280</v>
      </c>
      <c r="Q22" s="22">
        <f t="shared" si="3"/>
        <v>175</v>
      </c>
      <c r="R22" s="20">
        <f t="shared" si="10"/>
        <v>4507</v>
      </c>
      <c r="S22" s="33">
        <f t="shared" si="4"/>
        <v>3.8372901412617413</v>
      </c>
      <c r="T22" s="26">
        <f t="shared" si="5"/>
        <v>3.2186968419495603</v>
      </c>
      <c r="U22" s="34">
        <f t="shared" si="6"/>
        <v>0.66008431329043715</v>
      </c>
      <c r="V22" s="4">
        <f t="shared" si="7"/>
        <v>7.7160712965017391</v>
      </c>
      <c r="W22" s="123">
        <f t="shared" si="0"/>
        <v>0</v>
      </c>
      <c r="X22" s="4">
        <f t="shared" si="8"/>
        <v>7.7160712965017391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23.148213889505218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11</v>
      </c>
      <c r="L23" s="25">
        <f>(D23+E23+F23+G23+H23+I23+J23+K23)/3</f>
        <v>7.333333333333333</v>
      </c>
      <c r="M23" s="25">
        <f t="shared" si="1"/>
        <v>14.666666666666666</v>
      </c>
      <c r="N23" s="36">
        <f t="shared" si="2"/>
        <v>22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3194</v>
      </c>
      <c r="P23" s="19">
        <f>E23*J23*KKslave+E23*KOslave*K23+KLslave*J23*K23</f>
        <v>1879</v>
      </c>
      <c r="Q23" s="23">
        <f t="shared" si="3"/>
        <v>330</v>
      </c>
      <c r="R23" s="24">
        <f>SUM(O23:Q23)</f>
        <v>5403</v>
      </c>
      <c r="S23" s="37">
        <f t="shared" si="4"/>
        <v>4.3351224628292915</v>
      </c>
      <c r="T23" s="25">
        <f t="shared" si="5"/>
        <v>5.1006231106175575</v>
      </c>
      <c r="U23" s="38">
        <f t="shared" si="6"/>
        <v>1.3436979455857856</v>
      </c>
      <c r="V23" s="5">
        <f t="shared" si="7"/>
        <v>10.779443519032634</v>
      </c>
      <c r="W23" s="123">
        <f t="shared" si="0"/>
        <v>0</v>
      </c>
      <c r="X23" s="5">
        <f t="shared" si="8"/>
        <v>10.779443519032634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10.779443519032634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5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5.666666666666667</v>
      </c>
      <c r="M25" s="27">
        <f t="shared" si="1"/>
        <v>11.333333333333334</v>
      </c>
      <c r="N25" s="28">
        <f t="shared" si="2"/>
        <v>17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3052</v>
      </c>
      <c r="P25" s="11">
        <f>D25*E25*CHslave+D25*KLslave*G25+MUslave*E25*G25</f>
        <v>1280</v>
      </c>
      <c r="Q25" s="62">
        <f t="shared" si="3"/>
        <v>175</v>
      </c>
      <c r="R25" s="60">
        <f>SUM(O25:Q25)</f>
        <v>4507</v>
      </c>
      <c r="S25" s="29">
        <f t="shared" si="4"/>
        <v>3.8372901412617413</v>
      </c>
      <c r="T25" s="30">
        <f t="shared" si="5"/>
        <v>3.2186968419495603</v>
      </c>
      <c r="U25" s="31">
        <f t="shared" si="6"/>
        <v>0.66008431329043715</v>
      </c>
      <c r="V25" s="12">
        <f t="shared" si="7"/>
        <v>7.7160712965017391</v>
      </c>
      <c r="W25" s="123">
        <f t="shared" ref="W25:W33" si="12">Istwerte</f>
        <v>0</v>
      </c>
      <c r="X25" s="3">
        <f t="shared" si="8"/>
        <v>7.7160712965017391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15.432142593003478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1"/>
        <v>12.666666666666666</v>
      </c>
      <c r="N26" s="32">
        <f t="shared" si="2"/>
        <v>19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3072</v>
      </c>
      <c r="P26" s="11">
        <f>D26*G26*CHslave+D26*CHslave*G26+MUslave*G26*G26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3">SUM(O26:Q26)</f>
        <v>4843</v>
      </c>
      <c r="S26" s="33">
        <f t="shared" si="4"/>
        <v>4.0173446211026222</v>
      </c>
      <c r="T26" s="26">
        <f t="shared" si="5"/>
        <v>3.9911900337256521</v>
      </c>
      <c r="U26" s="34">
        <f t="shared" si="6"/>
        <v>0.96118108610365471</v>
      </c>
      <c r="V26" s="13">
        <f t="shared" si="7"/>
        <v>8.9697157409319281</v>
      </c>
      <c r="W26" s="123">
        <f t="shared" si="12"/>
        <v>0</v>
      </c>
      <c r="X26" s="4">
        <f t="shared" si="8"/>
        <v>8.9697157409319281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5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5.666666666666667</v>
      </c>
      <c r="M27" s="27">
        <f t="shared" si="1"/>
        <v>11.333333333333334</v>
      </c>
      <c r="N27" s="32">
        <f t="shared" si="2"/>
        <v>17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3052</v>
      </c>
      <c r="P27" s="11">
        <f>D27*F27*CHslave+D27*INslave*G27+MUslave*F27*G27</f>
        <v>1280</v>
      </c>
      <c r="Q27" s="22">
        <f t="shared" si="3"/>
        <v>175</v>
      </c>
      <c r="R27" s="20">
        <f t="shared" si="13"/>
        <v>4507</v>
      </c>
      <c r="S27" s="33">
        <f t="shared" si="4"/>
        <v>3.8372901412617413</v>
      </c>
      <c r="T27" s="26">
        <f t="shared" si="5"/>
        <v>3.2186968419495603</v>
      </c>
      <c r="U27" s="34">
        <f t="shared" si="6"/>
        <v>0.66008431329043715</v>
      </c>
      <c r="V27" s="13">
        <f t="shared" si="7"/>
        <v>7.7160712965017391</v>
      </c>
      <c r="W27" s="123">
        <f t="shared" si="12"/>
        <v>0</v>
      </c>
      <c r="X27" s="4">
        <f t="shared" si="8"/>
        <v>7.7160712965017391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15.432142593003478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5</v>
      </c>
      <c r="G28" s="21">
        <f t="shared" si="11"/>
        <v>7</v>
      </c>
      <c r="H28" s="21"/>
      <c r="I28" s="21"/>
      <c r="J28" s="21"/>
      <c r="K28" s="22"/>
      <c r="L28" s="27">
        <f t="shared" si="15"/>
        <v>5.666666666666667</v>
      </c>
      <c r="M28" s="27">
        <f t="shared" si="1"/>
        <v>11.333333333333334</v>
      </c>
      <c r="N28" s="32">
        <f t="shared" si="2"/>
        <v>17</v>
      </c>
      <c r="O28" s="11">
        <f t="shared" si="16"/>
        <v>3052</v>
      </c>
      <c r="P28" s="11">
        <f>E28*F28*CHslave+E28*INslave*G28+KLslave*F28*G28</f>
        <v>1280</v>
      </c>
      <c r="Q28" s="22">
        <f t="shared" si="3"/>
        <v>175</v>
      </c>
      <c r="R28" s="20">
        <f t="shared" si="13"/>
        <v>4507</v>
      </c>
      <c r="S28" s="33">
        <f t="shared" si="4"/>
        <v>3.8372901412617413</v>
      </c>
      <c r="T28" s="26">
        <f t="shared" si="5"/>
        <v>3.2186968419495603</v>
      </c>
      <c r="U28" s="34">
        <f t="shared" si="6"/>
        <v>0.66008431329043715</v>
      </c>
      <c r="V28" s="13">
        <f t="shared" si="7"/>
        <v>7.7160712965017391</v>
      </c>
      <c r="W28" s="123">
        <f t="shared" si="12"/>
        <v>0</v>
      </c>
      <c r="X28" s="4">
        <f t="shared" si="8"/>
        <v>7.7160712965017391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15.432142593003478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5</v>
      </c>
      <c r="G29" s="21">
        <f t="shared" si="11"/>
        <v>7</v>
      </c>
      <c r="H29" s="21"/>
      <c r="I29" s="21"/>
      <c r="J29" s="21"/>
      <c r="K29" s="22"/>
      <c r="L29" s="27">
        <f t="shared" si="15"/>
        <v>5.666666666666667</v>
      </c>
      <c r="M29" s="27">
        <f t="shared" si="1"/>
        <v>11.333333333333334</v>
      </c>
      <c r="N29" s="32">
        <f t="shared" si="2"/>
        <v>17</v>
      </c>
      <c r="O29" s="11">
        <f t="shared" si="16"/>
        <v>3052</v>
      </c>
      <c r="P29" s="11">
        <f>E29*F29*CHslave+E29*INslave*G29+KLslave*F29*G29</f>
        <v>1280</v>
      </c>
      <c r="Q29" s="22">
        <f t="shared" si="3"/>
        <v>175</v>
      </c>
      <c r="R29" s="20">
        <f t="shared" si="13"/>
        <v>4507</v>
      </c>
      <c r="S29" s="33">
        <f t="shared" si="4"/>
        <v>3.8372901412617413</v>
      </c>
      <c r="T29" s="26">
        <f t="shared" si="5"/>
        <v>3.2186968419495603</v>
      </c>
      <c r="U29" s="34">
        <f t="shared" si="6"/>
        <v>0.66008431329043715</v>
      </c>
      <c r="V29" s="13">
        <f t="shared" si="7"/>
        <v>7.7160712965017391</v>
      </c>
      <c r="W29" s="123">
        <f t="shared" si="12"/>
        <v>0</v>
      </c>
      <c r="X29" s="4">
        <f t="shared" si="8"/>
        <v>7.7160712965017391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23.148213889505218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5</v>
      </c>
      <c r="G30" s="21">
        <f t="shared" si="11"/>
        <v>7</v>
      </c>
      <c r="H30" s="21"/>
      <c r="I30" s="21"/>
      <c r="J30" s="21"/>
      <c r="K30" s="22"/>
      <c r="L30" s="27">
        <f t="shared" si="15"/>
        <v>5.666666666666667</v>
      </c>
      <c r="M30" s="27">
        <f t="shared" si="1"/>
        <v>11.333333333333334</v>
      </c>
      <c r="N30" s="32">
        <f t="shared" si="2"/>
        <v>17</v>
      </c>
      <c r="O30" s="11">
        <f t="shared" si="16"/>
        <v>3052</v>
      </c>
      <c r="P30" s="11">
        <f>E30*F30*CHslave+E30*INslave*G30+KLslave*F30*G30</f>
        <v>1280</v>
      </c>
      <c r="Q30" s="22">
        <f t="shared" si="3"/>
        <v>175</v>
      </c>
      <c r="R30" s="20">
        <f t="shared" si="13"/>
        <v>4507</v>
      </c>
      <c r="S30" s="33">
        <f t="shared" si="4"/>
        <v>3.8372901412617413</v>
      </c>
      <c r="T30" s="26">
        <f t="shared" si="5"/>
        <v>3.2186968419495603</v>
      </c>
      <c r="U30" s="34">
        <f t="shared" si="6"/>
        <v>0.66008431329043715</v>
      </c>
      <c r="V30" s="13">
        <f t="shared" si="7"/>
        <v>7.7160712965017391</v>
      </c>
      <c r="W30" s="123">
        <f t="shared" si="12"/>
        <v>0</v>
      </c>
      <c r="X30" s="4">
        <f t="shared" si="8"/>
        <v>7.7160712965017391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23.148213889505218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5</v>
      </c>
      <c r="G31" s="21">
        <f t="shared" si="11"/>
        <v>7</v>
      </c>
      <c r="H31" s="21"/>
      <c r="I31" s="21"/>
      <c r="J31" s="21"/>
      <c r="K31" s="22"/>
      <c r="L31" s="27">
        <f t="shared" si="15"/>
        <v>5.666666666666667</v>
      </c>
      <c r="M31" s="27">
        <f t="shared" si="1"/>
        <v>11.333333333333334</v>
      </c>
      <c r="N31" s="32">
        <f t="shared" si="2"/>
        <v>17</v>
      </c>
      <c r="O31" s="11">
        <f t="shared" si="16"/>
        <v>3052</v>
      </c>
      <c r="P31" s="11">
        <f>D31*F31*CHslave+D31*INslave*G31+MUslave*F31*G31</f>
        <v>1280</v>
      </c>
      <c r="Q31" s="22">
        <f t="shared" si="3"/>
        <v>175</v>
      </c>
      <c r="R31" s="20">
        <f t="shared" si="13"/>
        <v>4507</v>
      </c>
      <c r="S31" s="33">
        <f t="shared" si="4"/>
        <v>3.8372901412617413</v>
      </c>
      <c r="T31" s="26">
        <f t="shared" si="5"/>
        <v>3.2186968419495603</v>
      </c>
      <c r="U31" s="34">
        <f t="shared" si="6"/>
        <v>0.66008431329043715</v>
      </c>
      <c r="V31" s="13">
        <f t="shared" si="7"/>
        <v>7.7160712965017391</v>
      </c>
      <c r="W31" s="123">
        <f t="shared" si="12"/>
        <v>0</v>
      </c>
      <c r="X31" s="4">
        <f t="shared" si="8"/>
        <v>7.7160712965017391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23.148213889505218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7</v>
      </c>
      <c r="H32" s="21"/>
      <c r="I32" s="21">
        <f>Konvention_1slave-GEslave</f>
        <v>7</v>
      </c>
      <c r="J32" s="21"/>
      <c r="K32" s="22"/>
      <c r="L32" s="27">
        <f t="shared" si="15"/>
        <v>6.333333333333333</v>
      </c>
      <c r="M32" s="27">
        <f t="shared" si="1"/>
        <v>12.666666666666666</v>
      </c>
      <c r="N32" s="32">
        <f t="shared" si="2"/>
        <v>19</v>
      </c>
      <c r="O32" s="11">
        <f t="shared" si="16"/>
        <v>3072</v>
      </c>
      <c r="P32" s="11">
        <f>F32*G32*GEslave+F32*CHslave*I32+INslave*G32*I32</f>
        <v>1526</v>
      </c>
      <c r="Q32" s="22">
        <f t="shared" si="3"/>
        <v>245</v>
      </c>
      <c r="R32" s="20">
        <f t="shared" si="13"/>
        <v>4843</v>
      </c>
      <c r="S32" s="33">
        <f t="shared" si="4"/>
        <v>4.0173446211026222</v>
      </c>
      <c r="T32" s="26">
        <f t="shared" si="5"/>
        <v>3.9911900337256521</v>
      </c>
      <c r="U32" s="34">
        <f t="shared" si="6"/>
        <v>0.96118108610365471</v>
      </c>
      <c r="V32" s="13">
        <f t="shared" si="7"/>
        <v>8.9697157409319281</v>
      </c>
      <c r="W32" s="123">
        <f t="shared" si="12"/>
        <v>0</v>
      </c>
      <c r="X32" s="4">
        <f t="shared" si="8"/>
        <v>8.9697157409319281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17.939431481863856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5</v>
      </c>
      <c r="G33" s="19">
        <f t="shared" si="11"/>
        <v>7</v>
      </c>
      <c r="H33" s="19"/>
      <c r="I33" s="19"/>
      <c r="J33" s="19"/>
      <c r="K33" s="23"/>
      <c r="L33" s="37">
        <f t="shared" si="15"/>
        <v>5.666666666666667</v>
      </c>
      <c r="M33" s="25">
        <f t="shared" si="1"/>
        <v>11.333333333333334</v>
      </c>
      <c r="N33" s="36">
        <f t="shared" si="2"/>
        <v>17</v>
      </c>
      <c r="O33" s="19">
        <f t="shared" si="16"/>
        <v>3052</v>
      </c>
      <c r="P33" s="19">
        <f>D33*F33*CHslave+D33*INslave*G33+MUslave*F33*G33</f>
        <v>1280</v>
      </c>
      <c r="Q33" s="23">
        <f t="shared" si="3"/>
        <v>175</v>
      </c>
      <c r="R33" s="24">
        <f>SUM(O33:Q33)</f>
        <v>4507</v>
      </c>
      <c r="S33" s="37">
        <f t="shared" si="4"/>
        <v>3.8372901412617413</v>
      </c>
      <c r="T33" s="25">
        <f t="shared" si="5"/>
        <v>3.2186968419495603</v>
      </c>
      <c r="U33" s="38">
        <f t="shared" si="6"/>
        <v>0.66008431329043715</v>
      </c>
      <c r="V33" s="14">
        <f t="shared" si="7"/>
        <v>7.7160712965017391</v>
      </c>
      <c r="W33" s="123">
        <f t="shared" si="12"/>
        <v>0</v>
      </c>
      <c r="X33" s="5">
        <f t="shared" si="8"/>
        <v>7.7160712965017391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30.864285186006956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5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5.666666666666667</v>
      </c>
      <c r="M35" s="27">
        <f t="shared" si="1"/>
        <v>11.333333333333334</v>
      </c>
      <c r="N35" s="28">
        <f t="shared" si="2"/>
        <v>17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3052</v>
      </c>
      <c r="P35" s="11">
        <f>D35*F35*GEslave+D35*INslave*I35+MUslave*F35*I35</f>
        <v>1280</v>
      </c>
      <c r="Q35" s="62">
        <f t="shared" si="3"/>
        <v>175</v>
      </c>
      <c r="R35" s="60">
        <f t="shared" ref="R35:R41" si="17">SUM(O35:Q35)</f>
        <v>4507</v>
      </c>
      <c r="S35" s="29">
        <f t="shared" si="4"/>
        <v>3.8372901412617413</v>
      </c>
      <c r="T35" s="30">
        <f t="shared" si="5"/>
        <v>3.2186968419495603</v>
      </c>
      <c r="U35" s="31">
        <f t="shared" si="6"/>
        <v>0.66008431329043715</v>
      </c>
      <c r="V35" s="12">
        <f t="shared" si="7"/>
        <v>7.7160712965017391</v>
      </c>
      <c r="W35" s="123">
        <f t="shared" ref="W35:W41" si="18">Istwerte</f>
        <v>0</v>
      </c>
      <c r="X35" s="3">
        <f t="shared" si="8"/>
        <v>7.7160712965017391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23.148213889505218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5</v>
      </c>
      <c r="I36" s="21"/>
      <c r="J36" s="21"/>
      <c r="K36" s="22">
        <f>Konvention_1slave-KKslave</f>
        <v>11</v>
      </c>
      <c r="L36" s="27">
        <f>(D36+E36+F36+G36+H36+I36+J36+K36)/3</f>
        <v>7</v>
      </c>
      <c r="M36" s="27">
        <f t="shared" si="1"/>
        <v>14</v>
      </c>
      <c r="N36" s="32">
        <f t="shared" si="2"/>
        <v>21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3276</v>
      </c>
      <c r="P36" s="11">
        <f>E36*H36*KKslave+E36*FFslave*K36+KLslave*H36*K36</f>
        <v>1740</v>
      </c>
      <c r="Q36" s="22">
        <f t="shared" si="3"/>
        <v>275</v>
      </c>
      <c r="R36" s="20">
        <f t="shared" si="17"/>
        <v>5291</v>
      </c>
      <c r="S36" s="33">
        <f t="shared" si="4"/>
        <v>4.3341523341523338</v>
      </c>
      <c r="T36" s="26">
        <f t="shared" si="5"/>
        <v>4.6040446040446037</v>
      </c>
      <c r="U36" s="34">
        <f t="shared" si="6"/>
        <v>1.0914760914760915</v>
      </c>
      <c r="V36" s="13">
        <f t="shared" si="7"/>
        <v>10.029673029673029</v>
      </c>
      <c r="W36" s="123">
        <f t="shared" si="18"/>
        <v>0</v>
      </c>
      <c r="X36" s="4">
        <f t="shared" si="8"/>
        <v>10.029673029673029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10.029673029673029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5</v>
      </c>
      <c r="I37" s="21">
        <f>Konvention_1slave-GEslave</f>
        <v>7</v>
      </c>
      <c r="J37" s="21">
        <f>Konvention_1slave-KOslave</f>
        <v>6</v>
      </c>
      <c r="K37" s="22"/>
      <c r="L37" s="27">
        <f>(D37+E37+F37+G37+H37+I37+J37+K37)/3</f>
        <v>6</v>
      </c>
      <c r="M37" s="27">
        <f t="shared" si="1"/>
        <v>12</v>
      </c>
      <c r="N37" s="32">
        <f t="shared" si="2"/>
        <v>18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3062</v>
      </c>
      <c r="P37" s="11">
        <f>H37*I37*KOslave+H37*GEslave*J37+FFslave*I37*J37</f>
        <v>1403</v>
      </c>
      <c r="Q37" s="22">
        <f t="shared" si="3"/>
        <v>210</v>
      </c>
      <c r="R37" s="20">
        <f t="shared" si="17"/>
        <v>4675</v>
      </c>
      <c r="S37" s="33">
        <f t="shared" si="4"/>
        <v>3.9298395721925132</v>
      </c>
      <c r="T37" s="26">
        <f t="shared" si="5"/>
        <v>3.6012834224598929</v>
      </c>
      <c r="U37" s="34">
        <f t="shared" si="6"/>
        <v>0.80855614973262036</v>
      </c>
      <c r="V37" s="13">
        <f t="shared" si="7"/>
        <v>8.3396791443850269</v>
      </c>
      <c r="W37" s="123">
        <f t="shared" si="18"/>
        <v>0</v>
      </c>
      <c r="X37" s="4">
        <f t="shared" si="8"/>
        <v>8.3396791443850269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8.3396791443850269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1"/>
        <v>10</v>
      </c>
      <c r="N38" s="32">
        <f t="shared" si="2"/>
        <v>15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2940</v>
      </c>
      <c r="P38" s="11">
        <f>E38*F38*INslave+E38*INslave*F38+KLslave*F38*F38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7"/>
        <v>4115</v>
      </c>
      <c r="S38" s="33">
        <f t="shared" si="4"/>
        <v>3.5722964763061968</v>
      </c>
      <c r="T38" s="26">
        <f t="shared" si="5"/>
        <v>2.5516403402187122</v>
      </c>
      <c r="U38" s="34">
        <f t="shared" si="6"/>
        <v>0.45565006075334141</v>
      </c>
      <c r="V38" s="13">
        <f t="shared" si="7"/>
        <v>6.57958687727825</v>
      </c>
      <c r="W38" s="123">
        <f t="shared" si="18"/>
        <v>0</v>
      </c>
      <c r="X38" s="4">
        <f t="shared" si="8"/>
        <v>6.57958687727825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5</v>
      </c>
      <c r="I39" s="21"/>
      <c r="J39" s="21">
        <f>Konvention_1slave-KOslave</f>
        <v>6</v>
      </c>
      <c r="K39" s="22"/>
      <c r="L39" s="27">
        <f>(D39+E39+F39+G39+H39+I39+J39+K39)/3</f>
        <v>5.333333333333333</v>
      </c>
      <c r="M39" s="27">
        <f t="shared" si="1"/>
        <v>10.666666666666666</v>
      </c>
      <c r="N39" s="32">
        <f t="shared" si="2"/>
        <v>16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2996</v>
      </c>
      <c r="P39" s="11">
        <f>E39*H39*KOslave+E39*FFslave*J39+KLslave*H39*J39</f>
        <v>1165</v>
      </c>
      <c r="Q39" s="22">
        <f>IFERROR(D39^SIGN(D39),1)*IFERROR(E39^SIGN(E39),1)*IFERROR(F39^SIGN(F39),1)*IFERROR(G39^SIGN(G39),1)*IFERROR(H39^SIGN(H39),1)*IFERROR(I39^SIGN(I39),1)*IFERROR(J39^SIGN(J39),1)*IFERROR(K39^SIGN(K39),1)</f>
        <v>150</v>
      </c>
      <c r="R39" s="20">
        <f t="shared" si="17"/>
        <v>4311</v>
      </c>
      <c r="S39" s="33">
        <f t="shared" si="4"/>
        <v>3.7064872806000153</v>
      </c>
      <c r="T39" s="26">
        <f t="shared" si="5"/>
        <v>2.8825485192917344</v>
      </c>
      <c r="U39" s="34">
        <f t="shared" si="6"/>
        <v>0.55671537926235215</v>
      </c>
      <c r="V39" s="13">
        <f t="shared" si="7"/>
        <v>7.145751179154102</v>
      </c>
      <c r="W39" s="123">
        <f t="shared" si="18"/>
        <v>0</v>
      </c>
      <c r="X39" s="4">
        <f t="shared" si="8"/>
        <v>7.145751179154102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21.437253537462304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1"/>
        <v>11.333333333333334</v>
      </c>
      <c r="N40" s="32">
        <f t="shared" si="2"/>
        <v>17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3052</v>
      </c>
      <c r="P40" s="11">
        <f>D40*D40*CHslave+D40*MUslave*G40+MUslave*D40*G40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7"/>
        <v>4507</v>
      </c>
      <c r="S40" s="33">
        <f t="shared" si="4"/>
        <v>3.8372901412617413</v>
      </c>
      <c r="T40" s="26">
        <f t="shared" si="5"/>
        <v>3.2186968419495603</v>
      </c>
      <c r="U40" s="34">
        <f t="shared" si="6"/>
        <v>0.66008431329043715</v>
      </c>
      <c r="V40" s="13">
        <f t="shared" si="7"/>
        <v>7.7160712965017391</v>
      </c>
      <c r="W40" s="123">
        <f t="shared" si="18"/>
        <v>0</v>
      </c>
      <c r="X40" s="4">
        <f t="shared" si="8"/>
        <v>7.7160712965017391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6</v>
      </c>
      <c r="K41" s="23"/>
      <c r="L41" s="37">
        <f>(D41+E41+F41+G41+H41+I41+J41+K41)/3</f>
        <v>6</v>
      </c>
      <c r="M41" s="25">
        <f t="shared" si="1"/>
        <v>12</v>
      </c>
      <c r="N41" s="36">
        <f t="shared" si="2"/>
        <v>18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3062</v>
      </c>
      <c r="P41" s="19">
        <f>D41*I41*KOslave+D41*GEslave*J41+MUslave*I41*J41</f>
        <v>1403</v>
      </c>
      <c r="Q41" s="23">
        <f t="shared" si="3"/>
        <v>210</v>
      </c>
      <c r="R41" s="24">
        <f t="shared" si="17"/>
        <v>4675</v>
      </c>
      <c r="S41" s="37">
        <f t="shared" si="4"/>
        <v>3.9298395721925132</v>
      </c>
      <c r="T41" s="25">
        <f t="shared" si="5"/>
        <v>3.6012834224598929</v>
      </c>
      <c r="U41" s="38">
        <f t="shared" si="6"/>
        <v>0.80855614973262036</v>
      </c>
      <c r="V41" s="14">
        <f t="shared" si="7"/>
        <v>8.3396791443850269</v>
      </c>
      <c r="W41" s="123">
        <f t="shared" si="18"/>
        <v>0</v>
      </c>
      <c r="X41" s="5">
        <f t="shared" si="8"/>
        <v>8.3396791443850269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25.019037433155081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1"/>
        <v>10</v>
      </c>
      <c r="N43" s="28">
        <f t="shared" si="2"/>
        <v>15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2940</v>
      </c>
      <c r="P43" s="11">
        <f>E43*E43*INslave+E43*KLslave*F43+KLslave*E43*F43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4"/>
        <v>3.5722964763061968</v>
      </c>
      <c r="T43" s="30">
        <f t="shared" si="5"/>
        <v>2.5516403402187122</v>
      </c>
      <c r="U43" s="31">
        <f t="shared" si="6"/>
        <v>0.45565006075334141</v>
      </c>
      <c r="V43" s="12">
        <f t="shared" si="7"/>
        <v>6.57958687727825</v>
      </c>
      <c r="W43" s="123">
        <f t="shared" ref="W43:W54" si="21">Istwerte</f>
        <v>0</v>
      </c>
      <c r="X43" s="3">
        <f t="shared" si="8"/>
        <v>6.57958687727825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1"/>
        <v>10</v>
      </c>
      <c r="N44" s="32">
        <f t="shared" si="2"/>
        <v>15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2940</v>
      </c>
      <c r="P44" s="11">
        <f>E44*E44*INslave+E44*KLslave*F44+KLslave*E44*F44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22">SUM(O44:Q44)</f>
        <v>4115</v>
      </c>
      <c r="S44" s="33">
        <f t="shared" si="4"/>
        <v>3.5722964763061968</v>
      </c>
      <c r="T44" s="26">
        <f t="shared" si="5"/>
        <v>2.5516403402187122</v>
      </c>
      <c r="U44" s="34">
        <f t="shared" si="6"/>
        <v>0.45565006075334141</v>
      </c>
      <c r="V44" s="13">
        <f t="shared" si="7"/>
        <v>6.57958687727825</v>
      </c>
      <c r="W44" s="123">
        <f t="shared" si="21"/>
        <v>0</v>
      </c>
      <c r="X44" s="4">
        <f t="shared" si="8"/>
        <v>6.57958687727825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1"/>
        <v>10</v>
      </c>
      <c r="N45" s="32">
        <f t="shared" si="2"/>
        <v>15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2940</v>
      </c>
      <c r="P45" s="11">
        <f>E45*E45*INslave+E45*KLslave*F45+KLslave*E45*F45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22"/>
        <v>4115</v>
      </c>
      <c r="S45" s="33">
        <f t="shared" si="4"/>
        <v>3.5722964763061968</v>
      </c>
      <c r="T45" s="26">
        <f t="shared" si="5"/>
        <v>2.5516403402187122</v>
      </c>
      <c r="U45" s="34">
        <f t="shared" si="6"/>
        <v>0.45565006075334141</v>
      </c>
      <c r="V45" s="13">
        <f t="shared" si="7"/>
        <v>6.57958687727825</v>
      </c>
      <c r="W45" s="123">
        <f t="shared" si="21"/>
        <v>0</v>
      </c>
      <c r="X45" s="4">
        <f t="shared" si="8"/>
        <v>6.57958687727825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1"/>
        <v>10</v>
      </c>
      <c r="N46" s="32">
        <f t="shared" si="2"/>
        <v>15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2940</v>
      </c>
      <c r="P46" s="11">
        <f>E46*E46*INslave+E46*KLslave*F46+KLslave*E46*F46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22"/>
        <v>4115</v>
      </c>
      <c r="S46" s="33">
        <f t="shared" si="4"/>
        <v>3.5722964763061968</v>
      </c>
      <c r="T46" s="26">
        <f t="shared" si="5"/>
        <v>2.5516403402187122</v>
      </c>
      <c r="U46" s="34">
        <f t="shared" si="6"/>
        <v>0.45565006075334141</v>
      </c>
      <c r="V46" s="13">
        <f t="shared" si="7"/>
        <v>6.57958687727825</v>
      </c>
      <c r="W46" s="123">
        <f t="shared" si="21"/>
        <v>0</v>
      </c>
      <c r="X46" s="4">
        <f t="shared" si="8"/>
        <v>6.57958687727825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5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5</v>
      </c>
      <c r="M47" s="27">
        <f t="shared" si="1"/>
        <v>10</v>
      </c>
      <c r="N47" s="32">
        <f t="shared" si="2"/>
        <v>15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2940</v>
      </c>
      <c r="P47" s="11">
        <f>D47*E47*INslave+D47*KLslave*F47+MUslave*E47*F47</f>
        <v>1050</v>
      </c>
      <c r="Q47" s="22">
        <f t="shared" si="3"/>
        <v>125</v>
      </c>
      <c r="R47" s="20">
        <f t="shared" si="22"/>
        <v>4115</v>
      </c>
      <c r="S47" s="33">
        <f t="shared" si="4"/>
        <v>3.5722964763061968</v>
      </c>
      <c r="T47" s="26">
        <f t="shared" si="5"/>
        <v>2.5516403402187122</v>
      </c>
      <c r="U47" s="34">
        <f t="shared" si="6"/>
        <v>0.45565006075334141</v>
      </c>
      <c r="V47" s="13">
        <f t="shared" si="7"/>
        <v>6.57958687727825</v>
      </c>
      <c r="W47" s="123">
        <f t="shared" si="21"/>
        <v>0</v>
      </c>
      <c r="X47" s="4">
        <f t="shared" si="8"/>
        <v>6.57958687727825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13.1591737545565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1"/>
        <v>10</v>
      </c>
      <c r="N48" s="32">
        <f t="shared" si="2"/>
        <v>15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2940</v>
      </c>
      <c r="P48" s="11">
        <f>E48*E48*INslave+E48*KLslave*F48+KLslave*E48*F48</f>
        <v>1050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22"/>
        <v>4115</v>
      </c>
      <c r="S48" s="33">
        <f t="shared" si="4"/>
        <v>3.5722964763061968</v>
      </c>
      <c r="T48" s="26">
        <f t="shared" si="5"/>
        <v>2.5516403402187122</v>
      </c>
      <c r="U48" s="34">
        <f t="shared" si="6"/>
        <v>0.45565006075334141</v>
      </c>
      <c r="V48" s="13">
        <f t="shared" si="7"/>
        <v>6.57958687727825</v>
      </c>
      <c r="W48" s="123">
        <f t="shared" si="21"/>
        <v>0</v>
      </c>
      <c r="X48" s="4">
        <f t="shared" si="8"/>
        <v>6.57958687727825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5</v>
      </c>
      <c r="I49" s="21"/>
      <c r="J49" s="21"/>
      <c r="K49" s="22"/>
      <c r="L49" s="27">
        <f>(E49+E49+H49)/3</f>
        <v>5</v>
      </c>
      <c r="M49" s="27">
        <f t="shared" si="1"/>
        <v>10</v>
      </c>
      <c r="N49" s="32">
        <f t="shared" si="2"/>
        <v>15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2940</v>
      </c>
      <c r="P49" s="11">
        <f>E49*E49*FFslave+E49*KLslave*H49+KLslave*E49*H49</f>
        <v>1050</v>
      </c>
      <c r="Q49" s="22">
        <f t="shared" si="23"/>
        <v>125</v>
      </c>
      <c r="R49" s="20">
        <f t="shared" si="22"/>
        <v>4115</v>
      </c>
      <c r="S49" s="33">
        <f t="shared" si="4"/>
        <v>3.5722964763061968</v>
      </c>
      <c r="T49" s="26">
        <f t="shared" si="5"/>
        <v>2.5516403402187122</v>
      </c>
      <c r="U49" s="34">
        <f t="shared" si="6"/>
        <v>0.45565006075334141</v>
      </c>
      <c r="V49" s="13">
        <f t="shared" si="7"/>
        <v>6.57958687727825</v>
      </c>
      <c r="W49" s="123">
        <f t="shared" si="21"/>
        <v>0</v>
      </c>
      <c r="X49" s="4">
        <f t="shared" si="8"/>
        <v>6.57958687727825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13.1591737545565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1"/>
        <v>10</v>
      </c>
      <c r="N50" s="32">
        <f t="shared" si="2"/>
        <v>15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2940</v>
      </c>
      <c r="P50" s="11">
        <f>E50*E50*INslave+E50*KLslave*F50+KLslave*E50*F50</f>
        <v>1050</v>
      </c>
      <c r="Q50" s="22">
        <f t="shared" si="23"/>
        <v>125</v>
      </c>
      <c r="R50" s="20">
        <f t="shared" si="22"/>
        <v>4115</v>
      </c>
      <c r="S50" s="33">
        <f t="shared" si="4"/>
        <v>3.5722964763061968</v>
      </c>
      <c r="T50" s="26">
        <f t="shared" si="5"/>
        <v>2.5516403402187122</v>
      </c>
      <c r="U50" s="34">
        <f t="shared" si="6"/>
        <v>0.45565006075334141</v>
      </c>
      <c r="V50" s="13">
        <f t="shared" si="7"/>
        <v>6.57958687727825</v>
      </c>
      <c r="W50" s="123">
        <f t="shared" si="21"/>
        <v>0</v>
      </c>
      <c r="X50" s="4">
        <f t="shared" si="8"/>
        <v>6.57958687727825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1"/>
        <v>10</v>
      </c>
      <c r="N51" s="32">
        <f t="shared" si="2"/>
        <v>15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2940</v>
      </c>
      <c r="P51" s="11">
        <f>E51*E51*INslave+E51*KLslave*F51+KLslave*E51*F51</f>
        <v>1050</v>
      </c>
      <c r="Q51" s="22">
        <f t="shared" si="23"/>
        <v>125</v>
      </c>
      <c r="R51" s="20">
        <f t="shared" si="22"/>
        <v>4115</v>
      </c>
      <c r="S51" s="33">
        <f t="shared" si="4"/>
        <v>3.5722964763061968</v>
      </c>
      <c r="T51" s="26">
        <f t="shared" si="5"/>
        <v>2.5516403402187122</v>
      </c>
      <c r="U51" s="34">
        <f t="shared" si="6"/>
        <v>0.45565006075334141</v>
      </c>
      <c r="V51" s="13">
        <f t="shared" si="7"/>
        <v>6.57958687727825</v>
      </c>
      <c r="W51" s="123">
        <f t="shared" si="21"/>
        <v>0</v>
      </c>
      <c r="X51" s="4">
        <f t="shared" si="8"/>
        <v>6.57958687727825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1"/>
        <v>10</v>
      </c>
      <c r="N52" s="32">
        <f t="shared" si="2"/>
        <v>15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2940</v>
      </c>
      <c r="P52" s="11">
        <f>E52*E52*INslave+E52*KLslave*F52+KLslave*E52*F52</f>
        <v>1050</v>
      </c>
      <c r="Q52" s="22">
        <f t="shared" si="23"/>
        <v>125</v>
      </c>
      <c r="R52" s="20">
        <f t="shared" si="22"/>
        <v>4115</v>
      </c>
      <c r="S52" s="33">
        <f t="shared" si="4"/>
        <v>3.5722964763061968</v>
      </c>
      <c r="T52" s="26">
        <f t="shared" si="5"/>
        <v>2.5516403402187122</v>
      </c>
      <c r="U52" s="34">
        <f t="shared" si="6"/>
        <v>0.45565006075334141</v>
      </c>
      <c r="V52" s="13">
        <f t="shared" si="7"/>
        <v>6.57958687727825</v>
      </c>
      <c r="W52" s="123">
        <f t="shared" si="21"/>
        <v>0</v>
      </c>
      <c r="X52" s="4">
        <f t="shared" si="8"/>
        <v>6.57958687727825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1"/>
        <v>10</v>
      </c>
      <c r="N53" s="32">
        <f t="shared" si="2"/>
        <v>15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2940</v>
      </c>
      <c r="P53" s="11">
        <f>E53*E53*INslave+E53*KLslave*F53+KLslave*E53*F53</f>
        <v>1050</v>
      </c>
      <c r="Q53" s="22">
        <f t="shared" si="23"/>
        <v>125</v>
      </c>
      <c r="R53" s="20">
        <f t="shared" si="22"/>
        <v>4115</v>
      </c>
      <c r="S53" s="33">
        <f t="shared" si="4"/>
        <v>3.5722964763061968</v>
      </c>
      <c r="T53" s="26">
        <f t="shared" si="5"/>
        <v>2.5516403402187122</v>
      </c>
      <c r="U53" s="34">
        <f t="shared" si="6"/>
        <v>0.45565006075334141</v>
      </c>
      <c r="V53" s="13">
        <f t="shared" si="7"/>
        <v>6.57958687727825</v>
      </c>
      <c r="W53" s="123">
        <f t="shared" si="21"/>
        <v>0</v>
      </c>
      <c r="X53" s="4">
        <f t="shared" si="8"/>
        <v>6.57958687727825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1"/>
        <v>10</v>
      </c>
      <c r="N54" s="36">
        <f t="shared" si="2"/>
        <v>15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2940</v>
      </c>
      <c r="P54" s="19">
        <f>E54*E54*INslave+E54*KLslave*F54+KLslave*E54*F54</f>
        <v>1050</v>
      </c>
      <c r="Q54" s="23">
        <f t="shared" si="23"/>
        <v>125</v>
      </c>
      <c r="R54" s="24">
        <f>SUM(O54:Q54)</f>
        <v>4115</v>
      </c>
      <c r="S54" s="37">
        <f t="shared" si="4"/>
        <v>3.5722964763061968</v>
      </c>
      <c r="T54" s="25">
        <f t="shared" si="5"/>
        <v>2.5516403402187122</v>
      </c>
      <c r="U54" s="38">
        <f t="shared" si="6"/>
        <v>0.45565006075334141</v>
      </c>
      <c r="V54" s="14">
        <f t="shared" si="7"/>
        <v>6.57958687727825</v>
      </c>
      <c r="W54" s="123">
        <f t="shared" si="21"/>
        <v>0</v>
      </c>
      <c r="X54" s="5">
        <f t="shared" si="8"/>
        <v>6.57958687727825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5</v>
      </c>
      <c r="F56" s="61"/>
      <c r="G56" s="61"/>
      <c r="H56" s="61">
        <f>Konvention_1slave-FFslave</f>
        <v>5</v>
      </c>
      <c r="I56" s="61"/>
      <c r="J56" s="61"/>
      <c r="K56" s="62"/>
      <c r="L56" s="27">
        <f t="shared" ref="L56:L62" si="24">(D56+E56+F56+G56+H56+I56+J56+K56)/3</f>
        <v>5</v>
      </c>
      <c r="M56" s="27">
        <f t="shared" si="1"/>
        <v>10</v>
      </c>
      <c r="N56" s="28">
        <f t="shared" si="2"/>
        <v>15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2940</v>
      </c>
      <c r="P56" s="11">
        <f>D56*E56*FFslave+D56*KLslave*H56+MUslave*E56*H56</f>
        <v>1050</v>
      </c>
      <c r="Q56" s="62">
        <f t="shared" si="3"/>
        <v>125</v>
      </c>
      <c r="R56" s="60">
        <f>SUM(O56:Q56)</f>
        <v>4115</v>
      </c>
      <c r="S56" s="29">
        <f t="shared" si="4"/>
        <v>3.5722964763061968</v>
      </c>
      <c r="T56" s="30">
        <f t="shared" si="5"/>
        <v>2.5516403402187122</v>
      </c>
      <c r="U56" s="31">
        <f t="shared" si="6"/>
        <v>0.45565006075334141</v>
      </c>
      <c r="V56" s="12">
        <f t="shared" si="7"/>
        <v>6.57958687727825</v>
      </c>
      <c r="W56" s="123">
        <f t="shared" ref="W56:W72" si="26">Istwerte</f>
        <v>0</v>
      </c>
      <c r="X56" s="3">
        <f t="shared" si="8"/>
        <v>6.57958687727825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19.738760631834751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5</v>
      </c>
      <c r="I57" s="21">
        <f>Konvention_1slave-GEslave</f>
        <v>7</v>
      </c>
      <c r="J57" s="21"/>
      <c r="K57" s="22">
        <f>Konvention_1slave-KKslave</f>
        <v>11</v>
      </c>
      <c r="L57" s="27">
        <f t="shared" si="24"/>
        <v>7.666666666666667</v>
      </c>
      <c r="M57" s="27">
        <f t="shared" si="1"/>
        <v>15.333333333333334</v>
      </c>
      <c r="N57" s="32">
        <f t="shared" si="2"/>
        <v>23</v>
      </c>
      <c r="O57" s="11">
        <f t="shared" si="25"/>
        <v>3112</v>
      </c>
      <c r="P57" s="11">
        <f>H57*I57*KKslave+H57*GEslave*K57+FFslave*I57*K57</f>
        <v>2018</v>
      </c>
      <c r="Q57" s="22">
        <f t="shared" si="3"/>
        <v>385</v>
      </c>
      <c r="R57" s="20">
        <f t="shared" ref="R57:R71" si="27">SUM(O57:Q57)</f>
        <v>5515</v>
      </c>
      <c r="S57" s="33">
        <f t="shared" si="4"/>
        <v>4.3261408280447267</v>
      </c>
      <c r="T57" s="26">
        <f t="shared" si="5"/>
        <v>5.6106376548806285</v>
      </c>
      <c r="U57" s="34">
        <f t="shared" si="6"/>
        <v>1.6056210335448775</v>
      </c>
      <c r="V57" s="13">
        <f t="shared" si="7"/>
        <v>11.542399516470233</v>
      </c>
      <c r="W57" s="123">
        <f t="shared" si="26"/>
        <v>0</v>
      </c>
      <c r="X57" s="4">
        <f t="shared" si="8"/>
        <v>11.542399516470233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23.084799032940467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5</v>
      </c>
      <c r="I58" s="21"/>
      <c r="J58" s="21">
        <f>Konvention_1slave-KOslave</f>
        <v>6</v>
      </c>
      <c r="K58" s="22"/>
      <c r="L58" s="27">
        <f t="shared" si="24"/>
        <v>6</v>
      </c>
      <c r="M58" s="27">
        <f t="shared" si="1"/>
        <v>12</v>
      </c>
      <c r="N58" s="32">
        <f t="shared" si="2"/>
        <v>18</v>
      </c>
      <c r="O58" s="11">
        <f t="shared" si="25"/>
        <v>3062</v>
      </c>
      <c r="P58" s="11">
        <f>G58*H58*KOslave+G58*FFslave*J58+CHslave*H58*J58</f>
        <v>1403</v>
      </c>
      <c r="Q58" s="22">
        <f t="shared" si="3"/>
        <v>210</v>
      </c>
      <c r="R58" s="20">
        <f t="shared" si="27"/>
        <v>4675</v>
      </c>
      <c r="S58" s="33">
        <f t="shared" si="4"/>
        <v>3.9298395721925132</v>
      </c>
      <c r="T58" s="26">
        <f t="shared" si="5"/>
        <v>3.6012834224598929</v>
      </c>
      <c r="U58" s="34">
        <f t="shared" si="6"/>
        <v>0.80855614973262036</v>
      </c>
      <c r="V58" s="13">
        <f t="shared" si="7"/>
        <v>8.3396791443850269</v>
      </c>
      <c r="W58" s="123">
        <f t="shared" si="26"/>
        <v>0</v>
      </c>
      <c r="X58" s="4">
        <f t="shared" si="8"/>
        <v>8.3396791443850269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8.3396791443850269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5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5.666666666666667</v>
      </c>
      <c r="M59" s="27">
        <f t="shared" si="1"/>
        <v>11.333333333333334</v>
      </c>
      <c r="N59" s="32">
        <f t="shared" si="2"/>
        <v>17</v>
      </c>
      <c r="O59" s="11">
        <f t="shared" si="25"/>
        <v>3052</v>
      </c>
      <c r="P59" s="11">
        <f>E59*F59*CHslave+E59*INslave*G59+KLslave*F59*G59</f>
        <v>1280</v>
      </c>
      <c r="Q59" s="22">
        <f t="shared" si="3"/>
        <v>175</v>
      </c>
      <c r="R59" s="20">
        <f t="shared" si="27"/>
        <v>4507</v>
      </c>
      <c r="S59" s="33">
        <f t="shared" si="4"/>
        <v>3.8372901412617413</v>
      </c>
      <c r="T59" s="26">
        <f t="shared" si="5"/>
        <v>3.2186968419495603</v>
      </c>
      <c r="U59" s="34">
        <f t="shared" si="6"/>
        <v>0.66008431329043715</v>
      </c>
      <c r="V59" s="13">
        <f t="shared" si="7"/>
        <v>7.7160712965017391</v>
      </c>
      <c r="W59" s="123">
        <f t="shared" si="26"/>
        <v>0</v>
      </c>
      <c r="X59" s="4">
        <f t="shared" si="8"/>
        <v>7.7160712965017391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15.432142593003478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5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5</v>
      </c>
      <c r="M60" s="27">
        <f t="shared" si="1"/>
        <v>10</v>
      </c>
      <c r="N60" s="32">
        <f t="shared" si="2"/>
        <v>15</v>
      </c>
      <c r="O60" s="11">
        <f t="shared" si="25"/>
        <v>2940</v>
      </c>
      <c r="P60" s="11">
        <f>D60*E60*INslave+D60*KLslave*F60+MUslave*E60*F60</f>
        <v>1050</v>
      </c>
      <c r="Q60" s="22">
        <f t="shared" si="3"/>
        <v>125</v>
      </c>
      <c r="R60" s="20">
        <f t="shared" si="27"/>
        <v>4115</v>
      </c>
      <c r="S60" s="33">
        <f t="shared" si="4"/>
        <v>3.5722964763061968</v>
      </c>
      <c r="T60" s="26">
        <f t="shared" si="5"/>
        <v>2.5516403402187122</v>
      </c>
      <c r="U60" s="34">
        <f t="shared" si="6"/>
        <v>0.45565006075334141</v>
      </c>
      <c r="V60" s="13">
        <f t="shared" si="7"/>
        <v>6.57958687727825</v>
      </c>
      <c r="W60" s="123">
        <f t="shared" si="26"/>
        <v>0</v>
      </c>
      <c r="X60" s="4">
        <f t="shared" si="8"/>
        <v>6.57958687727825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13.1591737545565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5.333333333333333</v>
      </c>
      <c r="M61" s="27">
        <f t="shared" si="1"/>
        <v>10.666666666666666</v>
      </c>
      <c r="N61" s="32">
        <f t="shared" si="2"/>
        <v>16</v>
      </c>
      <c r="O61" s="11">
        <f t="shared" si="25"/>
        <v>2996</v>
      </c>
      <c r="P61" s="11">
        <f>D61*F61*KOslave+D61*INslave*J61+MUslave*F61*J61</f>
        <v>1165</v>
      </c>
      <c r="Q61" s="22">
        <f t="shared" si="3"/>
        <v>150</v>
      </c>
      <c r="R61" s="20">
        <f t="shared" si="27"/>
        <v>4311</v>
      </c>
      <c r="S61" s="33">
        <f t="shared" si="4"/>
        <v>3.7064872806000153</v>
      </c>
      <c r="T61" s="26">
        <f t="shared" si="5"/>
        <v>2.8825485192917344</v>
      </c>
      <c r="U61" s="34">
        <f t="shared" si="6"/>
        <v>0.55671537926235215</v>
      </c>
      <c r="V61" s="13">
        <f t="shared" si="7"/>
        <v>7.145751179154102</v>
      </c>
      <c r="W61" s="123">
        <f t="shared" si="26"/>
        <v>0</v>
      </c>
      <c r="X61" s="4">
        <f t="shared" si="8"/>
        <v>7.145751179154102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14.291502358308204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7</v>
      </c>
      <c r="H62" s="21"/>
      <c r="I62" s="21"/>
      <c r="J62" s="21">
        <f>Konvention_1slave-KOslave</f>
        <v>6</v>
      </c>
      <c r="K62" s="22"/>
      <c r="L62" s="27">
        <f t="shared" si="24"/>
        <v>6</v>
      </c>
      <c r="M62" s="27">
        <f t="shared" si="1"/>
        <v>12</v>
      </c>
      <c r="N62" s="32">
        <f t="shared" si="2"/>
        <v>18</v>
      </c>
      <c r="O62" s="11">
        <f t="shared" si="25"/>
        <v>3062</v>
      </c>
      <c r="P62" s="11">
        <f>F62*G62*KOslave+F62*CHslave*J62+INslave*G62*J62</f>
        <v>1403</v>
      </c>
      <c r="Q62" s="22">
        <f t="shared" si="3"/>
        <v>210</v>
      </c>
      <c r="R62" s="20">
        <f t="shared" si="27"/>
        <v>4675</v>
      </c>
      <c r="S62" s="33">
        <f t="shared" si="4"/>
        <v>3.9298395721925132</v>
      </c>
      <c r="T62" s="26">
        <f t="shared" si="5"/>
        <v>3.6012834224598929</v>
      </c>
      <c r="U62" s="34">
        <f t="shared" si="6"/>
        <v>0.80855614973262036</v>
      </c>
      <c r="V62" s="13">
        <f t="shared" si="7"/>
        <v>8.3396791443850269</v>
      </c>
      <c r="W62" s="123">
        <f t="shared" si="26"/>
        <v>0</v>
      </c>
      <c r="X62" s="4">
        <f t="shared" si="8"/>
        <v>8.3396791443850269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16.679358288770054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5</v>
      </c>
      <c r="I63" s="21"/>
      <c r="J63" s="21"/>
      <c r="K63" s="22"/>
      <c r="L63" s="27">
        <f>(E63+H63+H63)/3</f>
        <v>5</v>
      </c>
      <c r="M63" s="27">
        <f t="shared" si="1"/>
        <v>10</v>
      </c>
      <c r="N63" s="32">
        <f t="shared" si="2"/>
        <v>15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2940</v>
      </c>
      <c r="P63" s="11">
        <f>E63*H63*FFslave+E63*FFslave*H63+KLslave*H63*H63</f>
        <v>1050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125</v>
      </c>
      <c r="R63" s="20">
        <f t="shared" si="27"/>
        <v>4115</v>
      </c>
      <c r="S63" s="33">
        <f t="shared" si="4"/>
        <v>3.5722964763061968</v>
      </c>
      <c r="T63" s="26">
        <f t="shared" si="5"/>
        <v>2.5516403402187122</v>
      </c>
      <c r="U63" s="34">
        <f t="shared" si="6"/>
        <v>0.45565006075334141</v>
      </c>
      <c r="V63" s="13">
        <f t="shared" si="7"/>
        <v>6.57958687727825</v>
      </c>
      <c r="W63" s="123">
        <f t="shared" si="26"/>
        <v>0</v>
      </c>
      <c r="X63" s="4">
        <f t="shared" si="8"/>
        <v>6.57958687727825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26.318347509113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5</v>
      </c>
      <c r="I64" s="21">
        <f>Konvention_1slave-GEslave</f>
        <v>7</v>
      </c>
      <c r="J64" s="21"/>
      <c r="K64" s="22">
        <f>Konvention_1slave-KKslave</f>
        <v>11</v>
      </c>
      <c r="L64" s="27">
        <f>(D64+E64+F64+G64+H64+I64+J64+K64)/3</f>
        <v>7.666666666666667</v>
      </c>
      <c r="M64" s="27">
        <f t="shared" si="1"/>
        <v>15.333333333333334</v>
      </c>
      <c r="N64" s="32">
        <f t="shared" si="2"/>
        <v>23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3112</v>
      </c>
      <c r="P64" s="11">
        <f>H64*I64*KKslave+H64*GEslave*K64+FFslave*I64*K64</f>
        <v>2018</v>
      </c>
      <c r="Q64" s="22">
        <f t="shared" si="3"/>
        <v>385</v>
      </c>
      <c r="R64" s="20">
        <f t="shared" si="27"/>
        <v>5515</v>
      </c>
      <c r="S64" s="33">
        <f t="shared" si="4"/>
        <v>4.3261408280447267</v>
      </c>
      <c r="T64" s="26">
        <f t="shared" si="5"/>
        <v>5.6106376548806285</v>
      </c>
      <c r="U64" s="34">
        <f t="shared" si="6"/>
        <v>1.6056210335448775</v>
      </c>
      <c r="V64" s="13">
        <f t="shared" si="7"/>
        <v>11.542399516470233</v>
      </c>
      <c r="W64" s="123">
        <f t="shared" si="26"/>
        <v>0</v>
      </c>
      <c r="X64" s="4">
        <f t="shared" si="8"/>
        <v>11.542399516470233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23.084799032940467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5</v>
      </c>
      <c r="I65" s="21"/>
      <c r="J65" s="21"/>
      <c r="K65" s="22"/>
      <c r="L65" s="27">
        <f>(F65+H65+H65)/3</f>
        <v>5</v>
      </c>
      <c r="M65" s="27">
        <f t="shared" si="1"/>
        <v>10</v>
      </c>
      <c r="N65" s="32">
        <f t="shared" si="2"/>
        <v>15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2940</v>
      </c>
      <c r="P65" s="11">
        <f>F65*H65*FFslave+F65*FFslave*H65+INslave*H65*H65</f>
        <v>1050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125</v>
      </c>
      <c r="R65" s="20">
        <f t="shared" si="27"/>
        <v>4115</v>
      </c>
      <c r="S65" s="33">
        <f t="shared" si="4"/>
        <v>3.5722964763061968</v>
      </c>
      <c r="T65" s="26">
        <f t="shared" si="5"/>
        <v>2.5516403402187122</v>
      </c>
      <c r="U65" s="34">
        <f t="shared" si="6"/>
        <v>0.45565006075334141</v>
      </c>
      <c r="V65" s="13">
        <f t="shared" si="7"/>
        <v>6.57958687727825</v>
      </c>
      <c r="W65" s="123">
        <f t="shared" si="26"/>
        <v>0</v>
      </c>
      <c r="X65" s="4">
        <f t="shared" si="8"/>
        <v>6.57958687727825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6.57958687727825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5</v>
      </c>
      <c r="I66" s="21">
        <f>Konvention_1slave-GEslave</f>
        <v>7</v>
      </c>
      <c r="J66" s="21">
        <f>Konvention_1slave-KOslave</f>
        <v>6</v>
      </c>
      <c r="K66" s="22"/>
      <c r="L66" s="27">
        <f>(D66+E66+F66+G66+H66+I66+J66+K66)/3</f>
        <v>6</v>
      </c>
      <c r="M66" s="27">
        <f t="shared" si="1"/>
        <v>12</v>
      </c>
      <c r="N66" s="32">
        <f t="shared" si="2"/>
        <v>18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3062</v>
      </c>
      <c r="P66" s="11">
        <f>H66*I66*KOslave+H66*GEslave*J66+FFslave*I66*J66</f>
        <v>1403</v>
      </c>
      <c r="Q66" s="22">
        <f t="shared" si="3"/>
        <v>210</v>
      </c>
      <c r="R66" s="20">
        <f t="shared" si="27"/>
        <v>4675</v>
      </c>
      <c r="S66" s="33">
        <f t="shared" si="4"/>
        <v>3.9298395721925132</v>
      </c>
      <c r="T66" s="26">
        <f t="shared" si="5"/>
        <v>3.6012834224598929</v>
      </c>
      <c r="U66" s="34">
        <f t="shared" si="6"/>
        <v>0.80855614973262036</v>
      </c>
      <c r="V66" s="13">
        <f t="shared" si="7"/>
        <v>8.3396791443850269</v>
      </c>
      <c r="W66" s="123">
        <f t="shared" si="26"/>
        <v>0</v>
      </c>
      <c r="X66" s="4">
        <f t="shared" si="8"/>
        <v>8.3396791443850269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16.679358288770054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5</v>
      </c>
      <c r="I67" s="21"/>
      <c r="J67" s="21"/>
      <c r="K67" s="22"/>
      <c r="L67" s="27">
        <f>(F67+H67+H67)/3</f>
        <v>5</v>
      </c>
      <c r="M67" s="27">
        <f t="shared" si="1"/>
        <v>10</v>
      </c>
      <c r="N67" s="32">
        <f t="shared" si="2"/>
        <v>15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2940</v>
      </c>
      <c r="P67" s="11">
        <f>F67*H67*FFslave+F67*FFslave*H67+INslave*H67*H67</f>
        <v>1050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125</v>
      </c>
      <c r="R67" s="20">
        <f t="shared" si="27"/>
        <v>4115</v>
      </c>
      <c r="S67" s="33">
        <f t="shared" si="4"/>
        <v>3.5722964763061968</v>
      </c>
      <c r="T67" s="26">
        <f t="shared" si="5"/>
        <v>2.5516403402187122</v>
      </c>
      <c r="U67" s="34">
        <f t="shared" si="6"/>
        <v>0.45565006075334141</v>
      </c>
      <c r="V67" s="13">
        <f t="shared" si="7"/>
        <v>6.57958687727825</v>
      </c>
      <c r="W67" s="123">
        <f t="shared" si="26"/>
        <v>0</v>
      </c>
      <c r="X67" s="4">
        <f t="shared" si="8"/>
        <v>6.57958687727825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6.57958687727825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5</v>
      </c>
      <c r="I68" s="21"/>
      <c r="J68" s="21">
        <f>Konvention_1slave-KOslave</f>
        <v>6</v>
      </c>
      <c r="K68" s="22">
        <f>Konvention_1slave-KKslave</f>
        <v>11</v>
      </c>
      <c r="L68" s="27">
        <f>(D68+E68+F68+G68+H68+I68+J68+K68)/3</f>
        <v>7.333333333333333</v>
      </c>
      <c r="M68" s="27">
        <f t="shared" si="1"/>
        <v>14.666666666666666</v>
      </c>
      <c r="N68" s="32">
        <f t="shared" si="2"/>
        <v>22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3194</v>
      </c>
      <c r="P68" s="11">
        <f>H68*J68*KKslave+H68*KOslave*K68+FFslave*J68*K68</f>
        <v>1879</v>
      </c>
      <c r="Q68" s="22">
        <f>IFERROR(D68^SIGN(D68),1)*IFERROR(E68^SIGN(E68),1)*IFERROR(F68^SIGN(F68),1)*IFERROR(G68^SIGN(G68),1)*IFERROR(H68^SIGN(H68),1)*IFERROR(I68^SIGN(I68),1)*IFERROR(J68^SIGN(J68),1)*IFERROR(K68^SIGN(K68),1)</f>
        <v>330</v>
      </c>
      <c r="R68" s="20">
        <f t="shared" si="27"/>
        <v>5403</v>
      </c>
      <c r="S68" s="33">
        <f t="shared" si="4"/>
        <v>4.3351224628292915</v>
      </c>
      <c r="T68" s="26">
        <f t="shared" si="5"/>
        <v>5.1006231106175575</v>
      </c>
      <c r="U68" s="34">
        <f t="shared" si="6"/>
        <v>1.3436979455857856</v>
      </c>
      <c r="V68" s="13">
        <f t="shared" si="7"/>
        <v>10.779443519032634</v>
      </c>
      <c r="W68" s="123">
        <f t="shared" si="26"/>
        <v>0</v>
      </c>
      <c r="X68" s="4">
        <f t="shared" si="8"/>
        <v>10.779443519032634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32.338330557097905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5</v>
      </c>
      <c r="I69" s="21"/>
      <c r="J69" s="21">
        <f>Konvention_1slave-KOslave</f>
        <v>6</v>
      </c>
      <c r="K69" s="22"/>
      <c r="L69" s="27">
        <f>(D69+E69+F69+G69+H69+I69+J69+K69)/3</f>
        <v>6</v>
      </c>
      <c r="M69" s="27">
        <f t="shared" si="1"/>
        <v>12</v>
      </c>
      <c r="N69" s="32">
        <f t="shared" si="2"/>
        <v>18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3062</v>
      </c>
      <c r="P69" s="11">
        <f>G69*H69*KOslave+G69*FFslave*J69+CHslave*H69*J69</f>
        <v>1403</v>
      </c>
      <c r="Q69" s="22">
        <f>IFERROR(D69^SIGN(D69),1)*IFERROR(E69^SIGN(E69),1)*IFERROR(F69^SIGN(F69),1)*IFERROR(G69^SIGN(G69),1)*IFERROR(H69^SIGN(H69),1)*IFERROR(I69^SIGN(I69),1)*IFERROR(J69^SIGN(J69),1)*IFERROR(K69^SIGN(K69),1)</f>
        <v>210</v>
      </c>
      <c r="R69" s="20">
        <f t="shared" si="27"/>
        <v>4675</v>
      </c>
      <c r="S69" s="33">
        <f t="shared" si="4"/>
        <v>3.9298395721925132</v>
      </c>
      <c r="T69" s="26">
        <f t="shared" si="5"/>
        <v>3.6012834224598929</v>
      </c>
      <c r="U69" s="34">
        <f t="shared" si="6"/>
        <v>0.80855614973262036</v>
      </c>
      <c r="V69" s="13">
        <f t="shared" si="7"/>
        <v>8.3396791443850269</v>
      </c>
      <c r="W69" s="123">
        <f t="shared" si="26"/>
        <v>0</v>
      </c>
      <c r="X69" s="4">
        <f t="shared" si="8"/>
        <v>8.3396791443850269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8.3396791443850269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5</v>
      </c>
      <c r="I70" s="21"/>
      <c r="J70" s="21"/>
      <c r="K70" s="22"/>
      <c r="L70" s="27">
        <f>(F70+H70+H70)/3</f>
        <v>5</v>
      </c>
      <c r="M70" s="27">
        <f t="shared" si="1"/>
        <v>10</v>
      </c>
      <c r="N70" s="32">
        <f t="shared" si="2"/>
        <v>15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2940</v>
      </c>
      <c r="P70" s="11">
        <f>F70*H70*FFslave+F70*FFslave*H70+INslave*H70*H70</f>
        <v>1050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125</v>
      </c>
      <c r="R70" s="20">
        <f t="shared" si="27"/>
        <v>4115</v>
      </c>
      <c r="S70" s="33">
        <f t="shared" si="4"/>
        <v>3.5722964763061968</v>
      </c>
      <c r="T70" s="26">
        <f t="shared" si="5"/>
        <v>2.5516403402187122</v>
      </c>
      <c r="U70" s="34">
        <f t="shared" si="6"/>
        <v>0.45565006075334141</v>
      </c>
      <c r="V70" s="13">
        <f t="shared" si="7"/>
        <v>6.57958687727825</v>
      </c>
      <c r="W70" s="123">
        <f t="shared" si="26"/>
        <v>0</v>
      </c>
      <c r="X70" s="4">
        <f t="shared" si="8"/>
        <v>6.57958687727825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19.738760631834751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5</v>
      </c>
      <c r="I71" s="21"/>
      <c r="J71" s="21"/>
      <c r="K71" s="22">
        <f>Konvention_1slave-KKslave</f>
        <v>11</v>
      </c>
      <c r="L71" s="27">
        <f>(H71+H71+K71)/3</f>
        <v>7</v>
      </c>
      <c r="M71" s="27">
        <f t="shared" si="1"/>
        <v>14</v>
      </c>
      <c r="N71" s="32">
        <f t="shared" si="2"/>
        <v>21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3276</v>
      </c>
      <c r="P71" s="11">
        <f>H71*H71*KKslave+H71*FFslave*K71+FFslave*H71*K71</f>
        <v>1740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275</v>
      </c>
      <c r="R71" s="20">
        <f t="shared" si="27"/>
        <v>5291</v>
      </c>
      <c r="S71" s="33">
        <f t="shared" si="4"/>
        <v>4.3341523341523338</v>
      </c>
      <c r="T71" s="26">
        <f t="shared" si="5"/>
        <v>4.6040446040446037</v>
      </c>
      <c r="U71" s="34">
        <f t="shared" si="6"/>
        <v>1.0914760914760915</v>
      </c>
      <c r="V71" s="13">
        <f t="shared" si="7"/>
        <v>10.029673029673029</v>
      </c>
      <c r="W71" s="123">
        <f t="shared" si="26"/>
        <v>0</v>
      </c>
      <c r="X71" s="4">
        <f t="shared" si="8"/>
        <v>10.029673029673029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10.029673029673029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5</v>
      </c>
      <c r="I72" s="19"/>
      <c r="J72" s="19"/>
      <c r="K72" s="23"/>
      <c r="L72" s="25">
        <f>(E72+H72+H72)/3</f>
        <v>5</v>
      </c>
      <c r="M72" s="25">
        <f t="shared" si="1"/>
        <v>10</v>
      </c>
      <c r="N72" s="36">
        <f t="shared" si="2"/>
        <v>15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2940</v>
      </c>
      <c r="P72" s="19">
        <f>E72*H72*FFslave+E72*FFslave*H72+KLslave*H72*H72</f>
        <v>1050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125</v>
      </c>
      <c r="R72" s="24">
        <f>SUM(O72:Q72)</f>
        <v>4115</v>
      </c>
      <c r="S72" s="37">
        <f t="shared" si="4"/>
        <v>3.5722964763061968</v>
      </c>
      <c r="T72" s="25">
        <f t="shared" si="5"/>
        <v>2.5516403402187122</v>
      </c>
      <c r="U72" s="38">
        <f t="shared" si="6"/>
        <v>0.45565006075334141</v>
      </c>
      <c r="V72" s="14">
        <f t="shared" si="7"/>
        <v>6.57958687727825</v>
      </c>
      <c r="W72" s="123">
        <f t="shared" si="26"/>
        <v>0</v>
      </c>
      <c r="X72" s="5">
        <f t="shared" si="8"/>
        <v>6.57958687727825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6.57958687727825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3017.7966101694915</v>
      </c>
      <c r="P74" s="30">
        <f>AVERAGE(P10:P72)</f>
        <v>1352.5254237288136</v>
      </c>
      <c r="Q74" s="31">
        <f>AVERAGE(Q10:Q72)</f>
        <v>205.35593220338984</v>
      </c>
      <c r="R74" s="31">
        <f>O74+P74+Q74</f>
        <v>4575.6779661016944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113.25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8.1356258586296555</v>
      </c>
      <c r="W75" s="56">
        <f>W78/COUNT(W10:W72)</f>
        <v>0</v>
      </c>
      <c r="X75" s="56">
        <f>X78/COUNTIF(X10:X72,"&gt;0")</f>
        <v>8.1356258586296555</v>
      </c>
      <c r="Y75" s="135">
        <v>0</v>
      </c>
      <c r="Z75" s="74">
        <f>Z78/COUNTIF(Z10:Z72,"&gt;0")</f>
        <v>17.311063702560741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140</v>
      </c>
      <c r="F78" s="45">
        <f t="shared" si="29"/>
        <v>150</v>
      </c>
      <c r="G78" s="45">
        <f t="shared" si="29"/>
        <v>126</v>
      </c>
      <c r="H78" s="45">
        <f t="shared" si="29"/>
        <v>95</v>
      </c>
      <c r="I78" s="45">
        <f t="shared" si="29"/>
        <v>105</v>
      </c>
      <c r="J78" s="45">
        <f t="shared" si="29"/>
        <v>90</v>
      </c>
      <c r="K78" s="46">
        <f t="shared" si="29"/>
        <v>110</v>
      </c>
      <c r="L78" s="50">
        <f>SUM(L10:L72)</f>
        <v>345.33333333333337</v>
      </c>
      <c r="M78" s="51">
        <f>SUM(M10:M72)</f>
        <v>690.66666666666674</v>
      </c>
      <c r="N78" s="52">
        <f>SUM(N10:N72)</f>
        <v>1036</v>
      </c>
      <c r="O78" s="47">
        <f>O74/O76</f>
        <v>0.43997617876796785</v>
      </c>
      <c r="P78" s="48">
        <f>P74/P76</f>
        <v>0.19718988536649856</v>
      </c>
      <c r="Q78" s="49">
        <f>Q74/Q76</f>
        <v>2.993963146280651E-2</v>
      </c>
      <c r="R78" s="47">
        <f>O78+P78+Q78</f>
        <v>0.66710569559727295</v>
      </c>
      <c r="S78" s="47">
        <f>L78*O74/R74</f>
        <v>227.75767229085258</v>
      </c>
      <c r="T78" s="48">
        <f>M78*P74/R74</f>
        <v>204.15427678896654</v>
      </c>
      <c r="U78" s="49">
        <f>N78*Q74/R74</f>
        <v>46.495567943992747</v>
      </c>
      <c r="V78" s="53">
        <f>SUMIF(V10:V72,"&gt;0")</f>
        <v>480.00192565914972</v>
      </c>
      <c r="W78" s="66">
        <f>SUM(W10:W72)</f>
        <v>0</v>
      </c>
      <c r="X78" s="53">
        <f>SUMIF(X10:X72,"&gt;0")</f>
        <v>480.00192565914972</v>
      </c>
      <c r="Y78" s="53">
        <f>SUMIF(Y10:Y72,"&gt;0")</f>
        <v>0</v>
      </c>
      <c r="Z78" s="86">
        <f>SUMIF(Z10:Z72,"&gt;0")</f>
        <v>1021.3527584510838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3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7" priority="74" operator="lessThanOrEqual">
      <formula>0</formula>
    </cfRule>
  </conditionalFormatting>
  <conditionalFormatting sqref="J75:K75 D78:K78">
    <cfRule type="colorScale" priority="73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6" priority="9" operator="lessThanOrEqual">
      <formula>0</formula>
    </cfRule>
  </conditionalFormatting>
  <conditionalFormatting sqref="X56:X75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1"/>
  <sheetViews>
    <sheetView topLeftCell="A37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</f>
        <v>14</v>
      </c>
      <c r="F2" s="95">
        <f>INmaster</f>
        <v>14</v>
      </c>
      <c r="G2" s="95">
        <f>CHmaster</f>
        <v>12</v>
      </c>
      <c r="H2" s="95">
        <f>FFmaster</f>
        <v>13</v>
      </c>
      <c r="I2" s="95">
        <f>GEmaster+1</f>
        <v>13</v>
      </c>
      <c r="J2" s="95">
        <f>KOmaster</f>
        <v>13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75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555</v>
      </c>
      <c r="M5" s="92">
        <f>W81</f>
        <v>0</v>
      </c>
      <c r="N5" s="93">
        <f>L5+M5</f>
        <v>555</v>
      </c>
      <c r="O5" s="125">
        <v>1100</v>
      </c>
      <c r="P5" s="94">
        <f>O5-N5</f>
        <v>545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5</v>
      </c>
      <c r="G10" s="61"/>
      <c r="H10" s="61"/>
      <c r="I10" s="61">
        <f>Konvention_1slave-GEslave</f>
        <v>6</v>
      </c>
      <c r="J10" s="61"/>
      <c r="K10" s="62"/>
      <c r="L10" s="27">
        <f>(D10+E10+F10+G10+H10+I10+J10+K10)/3</f>
        <v>5.333333333333333</v>
      </c>
      <c r="M10" s="27">
        <f>2*L10</f>
        <v>10.666666666666666</v>
      </c>
      <c r="N10" s="28">
        <f>3*L10</f>
        <v>16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2996</v>
      </c>
      <c r="P10" s="11">
        <f>D10*F10*GEslave+D10*INslave*I10+MUslave*F10*I10</f>
        <v>1165</v>
      </c>
      <c r="Q10" s="62">
        <f>IFERROR(D10^SIGN(D10),1)*IFERROR(E10^SIGN(E10),1)*IFERROR(F10^SIGN(F10),1)*IFERROR(G10^SIGN(G10),1)*IFERROR(H10^SIGN(H10),1)*IFERROR(I10^SIGN(I10),1)*IFERROR(J10^SIGN(J10),1)*IFERROR(K10^SIGN(K10),1)</f>
        <v>150</v>
      </c>
      <c r="R10" s="60">
        <f>SUM(O10:Q10)</f>
        <v>4311</v>
      </c>
      <c r="S10" s="29">
        <f>L10*O10/R10</f>
        <v>3.7064872806000153</v>
      </c>
      <c r="T10" s="30">
        <f>M10*P10/R10</f>
        <v>2.8825485192917344</v>
      </c>
      <c r="U10" s="31">
        <f>N10*Q10/R10</f>
        <v>0.55671537926235215</v>
      </c>
      <c r="V10" s="3">
        <f>SUM(S10:U10)</f>
        <v>7.145751179154102</v>
      </c>
      <c r="W10" s="129">
        <f t="shared" ref="W10:W23" si="0">Istwerte</f>
        <v>0</v>
      </c>
      <c r="X10" s="3">
        <f>V10-W10</f>
        <v>7.145751179154102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14.291502358308204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7</v>
      </c>
      <c r="H11" s="21">
        <f>Konvention_1slave-FFslave</f>
        <v>6</v>
      </c>
      <c r="I11" s="21"/>
      <c r="J11" s="21"/>
      <c r="K11" s="22"/>
      <c r="L11" s="27">
        <f>(D11+E11+F11+G11+H11+I11+J11+K11)/3</f>
        <v>6</v>
      </c>
      <c r="M11" s="27">
        <f t="shared" ref="M11:M72" si="1">2*L11</f>
        <v>12</v>
      </c>
      <c r="N11" s="32">
        <f t="shared" ref="N11:N72" si="2">3*L11</f>
        <v>18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3062</v>
      </c>
      <c r="P11" s="11">
        <f>D11*G11*FFslave+D11*CHslave*H11+MUslave*G11*H11</f>
        <v>1403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210</v>
      </c>
      <c r="R11" s="20">
        <f>SUM(O11:Q11)</f>
        <v>4675</v>
      </c>
      <c r="S11" s="33">
        <f t="shared" ref="S11:S72" si="4">L11*O11/R11</f>
        <v>3.9298395721925132</v>
      </c>
      <c r="T11" s="26">
        <f t="shared" ref="T11:T72" si="5">M11*P11/R11</f>
        <v>3.6012834224598929</v>
      </c>
      <c r="U11" s="34">
        <f t="shared" ref="U11:U72" si="6">N11*Q11/R11</f>
        <v>0.80855614973262036</v>
      </c>
      <c r="V11" s="4">
        <f t="shared" ref="V11:V72" si="7">SUM(S11:U11)</f>
        <v>8.3396791443850269</v>
      </c>
      <c r="W11" s="123">
        <f t="shared" si="0"/>
        <v>0</v>
      </c>
      <c r="X11" s="4">
        <f t="shared" ref="X11:X72" si="8">V11-W11</f>
        <v>8.3396791443850269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8.3396791443850269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6</v>
      </c>
      <c r="J12" s="21"/>
      <c r="K12" s="22">
        <f>Konvention_1slave-KKslave</f>
        <v>11</v>
      </c>
      <c r="L12" s="27">
        <f>(D12+E12+F12+G12+H12+I12+J12+K12)/3</f>
        <v>7.333333333333333</v>
      </c>
      <c r="M12" s="27">
        <f t="shared" si="1"/>
        <v>14.666666666666666</v>
      </c>
      <c r="N12" s="32">
        <f t="shared" si="2"/>
        <v>22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3194</v>
      </c>
      <c r="P12" s="11">
        <f>D12*I12*KKslave+D12*GEslave*K12+MUslave*I12*K12</f>
        <v>1879</v>
      </c>
      <c r="Q12" s="22">
        <f t="shared" si="3"/>
        <v>330</v>
      </c>
      <c r="R12" s="20">
        <f t="shared" ref="R12:R22" si="10">SUM(O12:Q12)</f>
        <v>5403</v>
      </c>
      <c r="S12" s="33">
        <f t="shared" si="4"/>
        <v>4.3351224628292915</v>
      </c>
      <c r="T12" s="26">
        <f t="shared" si="5"/>
        <v>5.1006231106175575</v>
      </c>
      <c r="U12" s="34">
        <f t="shared" si="6"/>
        <v>1.3436979455857856</v>
      </c>
      <c r="V12" s="4">
        <f t="shared" si="7"/>
        <v>10.779443519032634</v>
      </c>
      <c r="W12" s="123">
        <f t="shared" si="0"/>
        <v>0</v>
      </c>
      <c r="X12" s="4">
        <f t="shared" si="8"/>
        <v>10.779443519032634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21.558887038065269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6</v>
      </c>
      <c r="J13" s="21">
        <f>Konvention_1slave-KOslave</f>
        <v>6</v>
      </c>
      <c r="K13" s="22"/>
      <c r="L13" s="27">
        <f>(I13+I13+J13)/3</f>
        <v>6</v>
      </c>
      <c r="M13" s="27">
        <f t="shared" si="1"/>
        <v>12</v>
      </c>
      <c r="N13" s="32">
        <f t="shared" si="2"/>
        <v>18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3042</v>
      </c>
      <c r="P13" s="11">
        <f>I13*I13*KOslave+I13*GEslave*J13+GEslave*I13*J13</f>
        <v>1404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216</v>
      </c>
      <c r="R13" s="20">
        <f t="shared" si="10"/>
        <v>4662</v>
      </c>
      <c r="S13" s="33">
        <f t="shared" si="4"/>
        <v>3.9150579150579152</v>
      </c>
      <c r="T13" s="26">
        <f t="shared" si="5"/>
        <v>3.6138996138996138</v>
      </c>
      <c r="U13" s="34">
        <f t="shared" si="6"/>
        <v>0.83397683397683398</v>
      </c>
      <c r="V13" s="4">
        <f t="shared" si="7"/>
        <v>8.3629343629343627</v>
      </c>
      <c r="W13" s="123">
        <f t="shared" si="0"/>
        <v>0</v>
      </c>
      <c r="X13" s="4">
        <f t="shared" si="8"/>
        <v>8.3629343629343627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33.451737451737451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11</v>
      </c>
      <c r="L14" s="27">
        <f>(J14+K14+K14)/3</f>
        <v>9.3333333333333339</v>
      </c>
      <c r="M14" s="27">
        <f t="shared" si="1"/>
        <v>18.666666666666668</v>
      </c>
      <c r="N14" s="32">
        <f t="shared" si="2"/>
        <v>28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2672</v>
      </c>
      <c r="P14" s="11">
        <f>J14*K14*KKslave+J14*KKslave*K14+KOslave*K14*K14</f>
        <v>2629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726</v>
      </c>
      <c r="R14" s="20">
        <f t="shared" si="10"/>
        <v>6027</v>
      </c>
      <c r="S14" s="33">
        <f t="shared" si="4"/>
        <v>4.137824235385211</v>
      </c>
      <c r="T14" s="26">
        <f t="shared" si="5"/>
        <v>8.1424699961285327</v>
      </c>
      <c r="U14" s="34">
        <f t="shared" si="6"/>
        <v>3.3728222996515678</v>
      </c>
      <c r="V14" s="4">
        <f t="shared" si="7"/>
        <v>15.65311653116531</v>
      </c>
      <c r="W14" s="123">
        <f t="shared" si="0"/>
        <v>0</v>
      </c>
      <c r="X14" s="4">
        <f t="shared" si="8"/>
        <v>15.65311653116531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48.531165311653098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6</v>
      </c>
      <c r="J15" s="21"/>
      <c r="K15" s="22">
        <f>Konvention_1slave-KKslave</f>
        <v>11</v>
      </c>
      <c r="L15" s="27">
        <f>(D15+E15+F15+G15+H15+I15+J15+K15)/3</f>
        <v>8</v>
      </c>
      <c r="M15" s="27">
        <f t="shared" si="1"/>
        <v>16</v>
      </c>
      <c r="N15" s="32">
        <f t="shared" si="2"/>
        <v>24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3020</v>
      </c>
      <c r="P15" s="11">
        <f>G15*I15*KKslave+G15*GEslave*K15+CHslave*I15*K15</f>
        <v>2129</v>
      </c>
      <c r="Q15" s="22">
        <f t="shared" si="3"/>
        <v>462</v>
      </c>
      <c r="R15" s="20">
        <f t="shared" si="10"/>
        <v>5611</v>
      </c>
      <c r="S15" s="33">
        <f t="shared" si="4"/>
        <v>4.3058278381750137</v>
      </c>
      <c r="T15" s="26">
        <f t="shared" si="5"/>
        <v>6.0709320976653007</v>
      </c>
      <c r="U15" s="34">
        <f t="shared" si="6"/>
        <v>1.9761183389770094</v>
      </c>
      <c r="V15" s="4">
        <f t="shared" si="7"/>
        <v>12.352878274817325</v>
      </c>
      <c r="W15" s="123">
        <f t="shared" si="0"/>
        <v>0</v>
      </c>
      <c r="X15" s="4">
        <f t="shared" si="8"/>
        <v>12.352878274817325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25.4115130992693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6</v>
      </c>
      <c r="J16" s="21">
        <f>Konvention_1slave-KOslave</f>
        <v>6</v>
      </c>
      <c r="K16" s="22">
        <f>Konvention_1slave-KKslave</f>
        <v>11</v>
      </c>
      <c r="L16" s="27">
        <f>(D16+E16+F16+G16+H16+I16+J16+K16)/3</f>
        <v>7.666666666666667</v>
      </c>
      <c r="M16" s="27">
        <f t="shared" si="1"/>
        <v>15.333333333333334</v>
      </c>
      <c r="N16" s="32">
        <f t="shared" si="2"/>
        <v>23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3107</v>
      </c>
      <c r="P16" s="11">
        <f>I16*J16*KKslave+I16*KOslave*K16+GEslave*J16*K16</f>
        <v>2004</v>
      </c>
      <c r="Q16" s="22">
        <f t="shared" si="3"/>
        <v>396</v>
      </c>
      <c r="R16" s="20">
        <f t="shared" si="10"/>
        <v>5507</v>
      </c>
      <c r="S16" s="33">
        <f t="shared" si="4"/>
        <v>4.3254645602566439</v>
      </c>
      <c r="T16" s="26">
        <f t="shared" si="5"/>
        <v>5.5798075177047393</v>
      </c>
      <c r="U16" s="34">
        <f t="shared" si="6"/>
        <v>1.6538950426729617</v>
      </c>
      <c r="V16" s="4">
        <f t="shared" si="7"/>
        <v>11.559167120634346</v>
      </c>
      <c r="W16" s="123">
        <f t="shared" si="0"/>
        <v>0</v>
      </c>
      <c r="X16" s="4">
        <f t="shared" si="8"/>
        <v>11.559167120634346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23.118334241268691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5.333333333333333</v>
      </c>
      <c r="M17" s="27">
        <f t="shared" si="1"/>
        <v>10.666666666666666</v>
      </c>
      <c r="N17" s="32">
        <f t="shared" si="2"/>
        <v>16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2996</v>
      </c>
      <c r="P17" s="11">
        <f>D17*D17*KOslave+D17*MUslave*J17+MUslave*D17*J17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10"/>
        <v>4311</v>
      </c>
      <c r="S17" s="33">
        <f t="shared" si="4"/>
        <v>3.7064872806000153</v>
      </c>
      <c r="T17" s="26">
        <f t="shared" si="5"/>
        <v>2.8825485192917344</v>
      </c>
      <c r="U17" s="34">
        <f t="shared" si="6"/>
        <v>0.55671537926235215</v>
      </c>
      <c r="V17" s="4">
        <f t="shared" si="7"/>
        <v>7.145751179154102</v>
      </c>
      <c r="W17" s="123">
        <f t="shared" si="0"/>
        <v>0</v>
      </c>
      <c r="X17" s="4">
        <f t="shared" si="8"/>
        <v>7.145751179154102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7</v>
      </c>
      <c r="H18" s="21"/>
      <c r="I18" s="21"/>
      <c r="J18" s="21">
        <f>Konvention_1slave-KOslave</f>
        <v>6</v>
      </c>
      <c r="K18" s="22"/>
      <c r="L18" s="27">
        <f>(D18+E18+F18+G18+H18+I18+J18+K18)/3</f>
        <v>6</v>
      </c>
      <c r="M18" s="27">
        <f t="shared" si="1"/>
        <v>12</v>
      </c>
      <c r="N18" s="32">
        <f t="shared" si="2"/>
        <v>18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3062</v>
      </c>
      <c r="P18" s="11">
        <f>E18*G18*KOslave+E18*CHslave*J18+KLslave*G18*J18</f>
        <v>1403</v>
      </c>
      <c r="Q18" s="22">
        <f t="shared" si="3"/>
        <v>210</v>
      </c>
      <c r="R18" s="20">
        <f t="shared" si="10"/>
        <v>4675</v>
      </c>
      <c r="S18" s="33">
        <f t="shared" si="4"/>
        <v>3.9298395721925132</v>
      </c>
      <c r="T18" s="26">
        <f t="shared" si="5"/>
        <v>3.6012834224598929</v>
      </c>
      <c r="U18" s="34">
        <f t="shared" si="6"/>
        <v>0.80855614973262036</v>
      </c>
      <c r="V18" s="4">
        <f t="shared" si="7"/>
        <v>8.3396791443850269</v>
      </c>
      <c r="W18" s="123">
        <f t="shared" si="0"/>
        <v>0</v>
      </c>
      <c r="X18" s="4">
        <f t="shared" si="8"/>
        <v>8.3396791443850269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8.3396791443850269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1"/>
        <v>10</v>
      </c>
      <c r="N19" s="32">
        <f t="shared" si="2"/>
        <v>15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2940</v>
      </c>
      <c r="P19" s="11">
        <f>E19*F19*INslave+E19*INslave*F19+KLslave*F19*F19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10"/>
        <v>4115</v>
      </c>
      <c r="S19" s="33">
        <f t="shared" si="4"/>
        <v>3.5722964763061968</v>
      </c>
      <c r="T19" s="26">
        <f t="shared" si="5"/>
        <v>2.5516403402187122</v>
      </c>
      <c r="U19" s="34">
        <f t="shared" si="6"/>
        <v>0.45565006075334141</v>
      </c>
      <c r="V19" s="4">
        <f t="shared" si="7"/>
        <v>6.57958687727825</v>
      </c>
      <c r="W19" s="123">
        <f t="shared" si="0"/>
        <v>0</v>
      </c>
      <c r="X19" s="4">
        <f t="shared" si="8"/>
        <v>6.57958687727825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7</v>
      </c>
      <c r="H20" s="21"/>
      <c r="I20" s="21">
        <f>Konvention_1slave-GEslave</f>
        <v>6</v>
      </c>
      <c r="J20" s="21"/>
      <c r="K20" s="22"/>
      <c r="L20" s="27">
        <f>(D20+E20+F20+G20+H20+I20+J20+K20)/3</f>
        <v>6</v>
      </c>
      <c r="M20" s="27">
        <f t="shared" si="1"/>
        <v>12</v>
      </c>
      <c r="N20" s="32">
        <f t="shared" si="2"/>
        <v>18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3062</v>
      </c>
      <c r="P20" s="11">
        <f>E20*G20*GEslave+E20*CHslave*I20+KLslave*G20*I20</f>
        <v>1403</v>
      </c>
      <c r="Q20" s="22">
        <f t="shared" si="3"/>
        <v>210</v>
      </c>
      <c r="R20" s="20">
        <f t="shared" si="10"/>
        <v>4675</v>
      </c>
      <c r="S20" s="33">
        <f t="shared" si="4"/>
        <v>3.9298395721925132</v>
      </c>
      <c r="T20" s="26">
        <f t="shared" si="5"/>
        <v>3.6012834224598929</v>
      </c>
      <c r="U20" s="34">
        <f t="shared" si="6"/>
        <v>0.80855614973262036</v>
      </c>
      <c r="V20" s="4">
        <f t="shared" si="7"/>
        <v>8.3396791443850269</v>
      </c>
      <c r="W20" s="123">
        <f t="shared" si="0"/>
        <v>0</v>
      </c>
      <c r="X20" s="4">
        <f t="shared" si="8"/>
        <v>8.3396791443850269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8.3396791443850269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6</v>
      </c>
      <c r="I21" s="21">
        <f>Konvention_1slave-GEslave</f>
        <v>6</v>
      </c>
      <c r="J21" s="21"/>
      <c r="K21" s="22"/>
      <c r="L21" s="27">
        <f>(D21+E21+F21+G21+H21+I21+J21+K21)/3</f>
        <v>5.666666666666667</v>
      </c>
      <c r="M21" s="27">
        <f t="shared" si="1"/>
        <v>11.333333333333334</v>
      </c>
      <c r="N21" s="32">
        <f t="shared" si="2"/>
        <v>17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3029</v>
      </c>
      <c r="P21" s="11">
        <f>D21*H21*GEslave+D21*FFslave*I21+MUslave*H21*I21</f>
        <v>1284</v>
      </c>
      <c r="Q21" s="22">
        <f t="shared" si="3"/>
        <v>180</v>
      </c>
      <c r="R21" s="20">
        <f t="shared" si="10"/>
        <v>4493</v>
      </c>
      <c r="S21" s="33">
        <f t="shared" si="4"/>
        <v>3.8202388901253808</v>
      </c>
      <c r="T21" s="26">
        <f t="shared" si="5"/>
        <v>3.2388159359002895</v>
      </c>
      <c r="U21" s="34">
        <f t="shared" si="6"/>
        <v>0.68105942577342538</v>
      </c>
      <c r="V21" s="4">
        <f t="shared" si="7"/>
        <v>7.7401142517990964</v>
      </c>
      <c r="W21" s="123">
        <f t="shared" si="0"/>
        <v>0</v>
      </c>
      <c r="X21" s="4">
        <f t="shared" si="8"/>
        <v>7.7401142517990964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15.480228503598193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5</v>
      </c>
      <c r="G22" s="21"/>
      <c r="H22" s="21"/>
      <c r="I22" s="21">
        <f>Konvention_1slave-GEslave</f>
        <v>6</v>
      </c>
      <c r="J22" s="21"/>
      <c r="K22" s="22"/>
      <c r="L22" s="27">
        <f>(D22+E22+F22+G22+H22+I22+J22+K22)/3</f>
        <v>5.333333333333333</v>
      </c>
      <c r="M22" s="27">
        <f t="shared" si="1"/>
        <v>10.666666666666666</v>
      </c>
      <c r="N22" s="32">
        <f t="shared" si="2"/>
        <v>16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2996</v>
      </c>
      <c r="P22" s="11">
        <f>D22*F22*GEslave+D22*INslave*I22+MUslave*F22*I22</f>
        <v>1165</v>
      </c>
      <c r="Q22" s="22">
        <f t="shared" si="3"/>
        <v>150</v>
      </c>
      <c r="R22" s="20">
        <f t="shared" si="10"/>
        <v>4311</v>
      </c>
      <c r="S22" s="33">
        <f t="shared" si="4"/>
        <v>3.7064872806000153</v>
      </c>
      <c r="T22" s="26">
        <f t="shared" si="5"/>
        <v>2.8825485192917344</v>
      </c>
      <c r="U22" s="34">
        <f t="shared" si="6"/>
        <v>0.55671537926235215</v>
      </c>
      <c r="V22" s="4">
        <f t="shared" si="7"/>
        <v>7.145751179154102</v>
      </c>
      <c r="W22" s="123">
        <f t="shared" si="0"/>
        <v>0</v>
      </c>
      <c r="X22" s="4">
        <f t="shared" si="8"/>
        <v>7.145751179154102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21.437253537462304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11</v>
      </c>
      <c r="L23" s="25">
        <f>(D23+E23+F23+G23+H23+I23+J23+K23)/3</f>
        <v>7.333333333333333</v>
      </c>
      <c r="M23" s="25">
        <f t="shared" si="1"/>
        <v>14.666666666666666</v>
      </c>
      <c r="N23" s="36">
        <f t="shared" si="2"/>
        <v>22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3194</v>
      </c>
      <c r="P23" s="19">
        <f>E23*J23*KKslave+E23*KOslave*K23+KLslave*J23*K23</f>
        <v>1879</v>
      </c>
      <c r="Q23" s="23">
        <f t="shared" si="3"/>
        <v>330</v>
      </c>
      <c r="R23" s="24">
        <f>SUM(O23:Q23)</f>
        <v>5403</v>
      </c>
      <c r="S23" s="37">
        <f t="shared" si="4"/>
        <v>4.3351224628292915</v>
      </c>
      <c r="T23" s="25">
        <f t="shared" si="5"/>
        <v>5.1006231106175575</v>
      </c>
      <c r="U23" s="38">
        <f t="shared" si="6"/>
        <v>1.3436979455857856</v>
      </c>
      <c r="V23" s="5">
        <f t="shared" si="7"/>
        <v>10.779443519032634</v>
      </c>
      <c r="W23" s="123">
        <f t="shared" si="0"/>
        <v>0</v>
      </c>
      <c r="X23" s="5">
        <f t="shared" si="8"/>
        <v>10.779443519032634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10.779443519032634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5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5.666666666666667</v>
      </c>
      <c r="M25" s="27">
        <f t="shared" si="1"/>
        <v>11.333333333333334</v>
      </c>
      <c r="N25" s="28">
        <f t="shared" si="2"/>
        <v>17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3052</v>
      </c>
      <c r="P25" s="11">
        <f>D25*E25*CHslave+D25*KLslave*G25+MUslave*E25*G25</f>
        <v>1280</v>
      </c>
      <c r="Q25" s="62">
        <f t="shared" si="3"/>
        <v>175</v>
      </c>
      <c r="R25" s="60">
        <f>SUM(O25:Q25)</f>
        <v>4507</v>
      </c>
      <c r="S25" s="29">
        <f t="shared" si="4"/>
        <v>3.8372901412617413</v>
      </c>
      <c r="T25" s="30">
        <f t="shared" si="5"/>
        <v>3.2186968419495603</v>
      </c>
      <c r="U25" s="31">
        <f t="shared" si="6"/>
        <v>0.66008431329043715</v>
      </c>
      <c r="V25" s="12">
        <f t="shared" si="7"/>
        <v>7.7160712965017391</v>
      </c>
      <c r="W25" s="123">
        <f t="shared" ref="W25:W33" si="12">Istwerte</f>
        <v>0</v>
      </c>
      <c r="X25" s="3">
        <f t="shared" si="8"/>
        <v>7.7160712965017391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15.432142593003478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1"/>
        <v>12.666666666666666</v>
      </c>
      <c r="N26" s="32">
        <f t="shared" si="2"/>
        <v>19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3072</v>
      </c>
      <c r="P26" s="11">
        <f>D26*G26*CHslave+D26*CHslave*G26+MUslave*G26*G26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3">SUM(O26:Q26)</f>
        <v>4843</v>
      </c>
      <c r="S26" s="33">
        <f t="shared" si="4"/>
        <v>4.0173446211026222</v>
      </c>
      <c r="T26" s="26">
        <f t="shared" si="5"/>
        <v>3.9911900337256521</v>
      </c>
      <c r="U26" s="34">
        <f t="shared" si="6"/>
        <v>0.96118108610365471</v>
      </c>
      <c r="V26" s="13">
        <f t="shared" si="7"/>
        <v>8.9697157409319281</v>
      </c>
      <c r="W26" s="123">
        <f t="shared" si="12"/>
        <v>0</v>
      </c>
      <c r="X26" s="4">
        <f t="shared" si="8"/>
        <v>8.9697157409319281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5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5.666666666666667</v>
      </c>
      <c r="M27" s="27">
        <f t="shared" si="1"/>
        <v>11.333333333333334</v>
      </c>
      <c r="N27" s="32">
        <f t="shared" si="2"/>
        <v>17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3052</v>
      </c>
      <c r="P27" s="11">
        <f>D27*F27*CHslave+D27*INslave*G27+MUslave*F27*G27</f>
        <v>1280</v>
      </c>
      <c r="Q27" s="22">
        <f t="shared" si="3"/>
        <v>175</v>
      </c>
      <c r="R27" s="20">
        <f t="shared" si="13"/>
        <v>4507</v>
      </c>
      <c r="S27" s="33">
        <f t="shared" si="4"/>
        <v>3.8372901412617413</v>
      </c>
      <c r="T27" s="26">
        <f t="shared" si="5"/>
        <v>3.2186968419495603</v>
      </c>
      <c r="U27" s="34">
        <f t="shared" si="6"/>
        <v>0.66008431329043715</v>
      </c>
      <c r="V27" s="13">
        <f t="shared" si="7"/>
        <v>7.7160712965017391</v>
      </c>
      <c r="W27" s="123">
        <f t="shared" si="12"/>
        <v>0</v>
      </c>
      <c r="X27" s="4">
        <f t="shared" si="8"/>
        <v>7.7160712965017391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15.432142593003478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5</v>
      </c>
      <c r="G28" s="21">
        <f t="shared" si="11"/>
        <v>7</v>
      </c>
      <c r="H28" s="21"/>
      <c r="I28" s="21"/>
      <c r="J28" s="21"/>
      <c r="K28" s="22"/>
      <c r="L28" s="27">
        <f t="shared" si="15"/>
        <v>5.666666666666667</v>
      </c>
      <c r="M28" s="27">
        <f t="shared" si="1"/>
        <v>11.333333333333334</v>
      </c>
      <c r="N28" s="32">
        <f t="shared" si="2"/>
        <v>17</v>
      </c>
      <c r="O28" s="11">
        <f t="shared" si="16"/>
        <v>3052</v>
      </c>
      <c r="P28" s="11">
        <f>E28*F28*CHslave+E28*INslave*G28+KLslave*F28*G28</f>
        <v>1280</v>
      </c>
      <c r="Q28" s="22">
        <f t="shared" si="3"/>
        <v>175</v>
      </c>
      <c r="R28" s="20">
        <f t="shared" si="13"/>
        <v>4507</v>
      </c>
      <c r="S28" s="33">
        <f t="shared" si="4"/>
        <v>3.8372901412617413</v>
      </c>
      <c r="T28" s="26">
        <f t="shared" si="5"/>
        <v>3.2186968419495603</v>
      </c>
      <c r="U28" s="34">
        <f t="shared" si="6"/>
        <v>0.66008431329043715</v>
      </c>
      <c r="V28" s="13">
        <f t="shared" si="7"/>
        <v>7.7160712965017391</v>
      </c>
      <c r="W28" s="123">
        <f t="shared" si="12"/>
        <v>0</v>
      </c>
      <c r="X28" s="4">
        <f t="shared" si="8"/>
        <v>7.7160712965017391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15.432142593003478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5</v>
      </c>
      <c r="G29" s="21">
        <f t="shared" si="11"/>
        <v>7</v>
      </c>
      <c r="H29" s="21"/>
      <c r="I29" s="21"/>
      <c r="J29" s="21"/>
      <c r="K29" s="22"/>
      <c r="L29" s="27">
        <f t="shared" si="15"/>
        <v>5.666666666666667</v>
      </c>
      <c r="M29" s="27">
        <f t="shared" si="1"/>
        <v>11.333333333333334</v>
      </c>
      <c r="N29" s="32">
        <f t="shared" si="2"/>
        <v>17</v>
      </c>
      <c r="O29" s="11">
        <f t="shared" si="16"/>
        <v>3052</v>
      </c>
      <c r="P29" s="11">
        <f>E29*F29*CHslave+E29*INslave*G29+KLslave*F29*G29</f>
        <v>1280</v>
      </c>
      <c r="Q29" s="22">
        <f t="shared" si="3"/>
        <v>175</v>
      </c>
      <c r="R29" s="20">
        <f t="shared" si="13"/>
        <v>4507</v>
      </c>
      <c r="S29" s="33">
        <f t="shared" si="4"/>
        <v>3.8372901412617413</v>
      </c>
      <c r="T29" s="26">
        <f t="shared" si="5"/>
        <v>3.2186968419495603</v>
      </c>
      <c r="U29" s="34">
        <f t="shared" si="6"/>
        <v>0.66008431329043715</v>
      </c>
      <c r="V29" s="13">
        <f t="shared" si="7"/>
        <v>7.7160712965017391</v>
      </c>
      <c r="W29" s="123">
        <f t="shared" si="12"/>
        <v>0</v>
      </c>
      <c r="X29" s="4">
        <f t="shared" si="8"/>
        <v>7.7160712965017391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23.148213889505218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5</v>
      </c>
      <c r="G30" s="21">
        <f t="shared" si="11"/>
        <v>7</v>
      </c>
      <c r="H30" s="21"/>
      <c r="I30" s="21"/>
      <c r="J30" s="21"/>
      <c r="K30" s="22"/>
      <c r="L30" s="27">
        <f t="shared" si="15"/>
        <v>5.666666666666667</v>
      </c>
      <c r="M30" s="27">
        <f t="shared" si="1"/>
        <v>11.333333333333334</v>
      </c>
      <c r="N30" s="32">
        <f t="shared" si="2"/>
        <v>17</v>
      </c>
      <c r="O30" s="11">
        <f t="shared" si="16"/>
        <v>3052</v>
      </c>
      <c r="P30" s="11">
        <f>E30*F30*CHslave+E30*INslave*G30+KLslave*F30*G30</f>
        <v>1280</v>
      </c>
      <c r="Q30" s="22">
        <f t="shared" si="3"/>
        <v>175</v>
      </c>
      <c r="R30" s="20">
        <f t="shared" si="13"/>
        <v>4507</v>
      </c>
      <c r="S30" s="33">
        <f t="shared" si="4"/>
        <v>3.8372901412617413</v>
      </c>
      <c r="T30" s="26">
        <f t="shared" si="5"/>
        <v>3.2186968419495603</v>
      </c>
      <c r="U30" s="34">
        <f t="shared" si="6"/>
        <v>0.66008431329043715</v>
      </c>
      <c r="V30" s="13">
        <f t="shared" si="7"/>
        <v>7.7160712965017391</v>
      </c>
      <c r="W30" s="123">
        <f t="shared" si="12"/>
        <v>0</v>
      </c>
      <c r="X30" s="4">
        <f t="shared" si="8"/>
        <v>7.7160712965017391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23.148213889505218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5</v>
      </c>
      <c r="G31" s="21">
        <f t="shared" si="11"/>
        <v>7</v>
      </c>
      <c r="H31" s="21"/>
      <c r="I31" s="21"/>
      <c r="J31" s="21"/>
      <c r="K31" s="22"/>
      <c r="L31" s="27">
        <f t="shared" si="15"/>
        <v>5.666666666666667</v>
      </c>
      <c r="M31" s="27">
        <f t="shared" si="1"/>
        <v>11.333333333333334</v>
      </c>
      <c r="N31" s="32">
        <f t="shared" si="2"/>
        <v>17</v>
      </c>
      <c r="O31" s="11">
        <f t="shared" si="16"/>
        <v>3052</v>
      </c>
      <c r="P31" s="11">
        <f>D31*F31*CHslave+D31*INslave*G31+MUslave*F31*G31</f>
        <v>1280</v>
      </c>
      <c r="Q31" s="22">
        <f t="shared" si="3"/>
        <v>175</v>
      </c>
      <c r="R31" s="20">
        <f t="shared" si="13"/>
        <v>4507</v>
      </c>
      <c r="S31" s="33">
        <f t="shared" si="4"/>
        <v>3.8372901412617413</v>
      </c>
      <c r="T31" s="26">
        <f t="shared" si="5"/>
        <v>3.2186968419495603</v>
      </c>
      <c r="U31" s="34">
        <f t="shared" si="6"/>
        <v>0.66008431329043715</v>
      </c>
      <c r="V31" s="13">
        <f t="shared" si="7"/>
        <v>7.7160712965017391</v>
      </c>
      <c r="W31" s="123">
        <f t="shared" si="12"/>
        <v>0</v>
      </c>
      <c r="X31" s="4">
        <f t="shared" si="8"/>
        <v>7.7160712965017391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23.148213889505218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7</v>
      </c>
      <c r="H32" s="21"/>
      <c r="I32" s="21">
        <f>Konvention_1slave-GEslave</f>
        <v>6</v>
      </c>
      <c r="J32" s="21"/>
      <c r="K32" s="22"/>
      <c r="L32" s="27">
        <f t="shared" si="15"/>
        <v>6</v>
      </c>
      <c r="M32" s="27">
        <f t="shared" si="1"/>
        <v>12</v>
      </c>
      <c r="N32" s="32">
        <f t="shared" si="2"/>
        <v>18</v>
      </c>
      <c r="O32" s="11">
        <f t="shared" si="16"/>
        <v>3062</v>
      </c>
      <c r="P32" s="11">
        <f>F32*G32*GEslave+F32*CHslave*I32+INslave*G32*I32</f>
        <v>1403</v>
      </c>
      <c r="Q32" s="22">
        <f t="shared" si="3"/>
        <v>210</v>
      </c>
      <c r="R32" s="20">
        <f t="shared" si="13"/>
        <v>4675</v>
      </c>
      <c r="S32" s="33">
        <f t="shared" si="4"/>
        <v>3.9298395721925132</v>
      </c>
      <c r="T32" s="26">
        <f t="shared" si="5"/>
        <v>3.6012834224598929</v>
      </c>
      <c r="U32" s="34">
        <f t="shared" si="6"/>
        <v>0.80855614973262036</v>
      </c>
      <c r="V32" s="13">
        <f t="shared" si="7"/>
        <v>8.3396791443850269</v>
      </c>
      <c r="W32" s="123">
        <f t="shared" si="12"/>
        <v>0</v>
      </c>
      <c r="X32" s="4">
        <f t="shared" si="8"/>
        <v>8.3396791443850269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16.679358288770054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5</v>
      </c>
      <c r="G33" s="19">
        <f t="shared" si="11"/>
        <v>7</v>
      </c>
      <c r="H33" s="19"/>
      <c r="I33" s="19"/>
      <c r="J33" s="19"/>
      <c r="K33" s="23"/>
      <c r="L33" s="37">
        <f t="shared" si="15"/>
        <v>5.666666666666667</v>
      </c>
      <c r="M33" s="25">
        <f t="shared" si="1"/>
        <v>11.333333333333334</v>
      </c>
      <c r="N33" s="36">
        <f t="shared" si="2"/>
        <v>17</v>
      </c>
      <c r="O33" s="19">
        <f t="shared" si="16"/>
        <v>3052</v>
      </c>
      <c r="P33" s="19">
        <f>D33*F33*CHslave+D33*INslave*G33+MUslave*F33*G33</f>
        <v>1280</v>
      </c>
      <c r="Q33" s="23">
        <f t="shared" si="3"/>
        <v>175</v>
      </c>
      <c r="R33" s="24">
        <f>SUM(O33:Q33)</f>
        <v>4507</v>
      </c>
      <c r="S33" s="37">
        <f t="shared" si="4"/>
        <v>3.8372901412617413</v>
      </c>
      <c r="T33" s="25">
        <f t="shared" si="5"/>
        <v>3.2186968419495603</v>
      </c>
      <c r="U33" s="38">
        <f t="shared" si="6"/>
        <v>0.66008431329043715</v>
      </c>
      <c r="V33" s="14">
        <f t="shared" si="7"/>
        <v>7.7160712965017391</v>
      </c>
      <c r="W33" s="123">
        <f t="shared" si="12"/>
        <v>0</v>
      </c>
      <c r="X33" s="5">
        <f t="shared" si="8"/>
        <v>7.7160712965017391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30.864285186006956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5</v>
      </c>
      <c r="G35" s="61"/>
      <c r="H35" s="61"/>
      <c r="I35" s="61">
        <f>Konvention_1slave-GEslave</f>
        <v>6</v>
      </c>
      <c r="J35" s="61"/>
      <c r="K35" s="62"/>
      <c r="L35" s="27">
        <f>(D35+E35+F35+G35+H35+I35+J35+K35)/3</f>
        <v>5.333333333333333</v>
      </c>
      <c r="M35" s="27">
        <f t="shared" si="1"/>
        <v>10.666666666666666</v>
      </c>
      <c r="N35" s="28">
        <f t="shared" si="2"/>
        <v>16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2996</v>
      </c>
      <c r="P35" s="11">
        <f>D35*F35*GEslave+D35*INslave*I35+MUslave*F35*I35</f>
        <v>1165</v>
      </c>
      <c r="Q35" s="62">
        <f t="shared" si="3"/>
        <v>150</v>
      </c>
      <c r="R35" s="60">
        <f t="shared" ref="R35:R41" si="17">SUM(O35:Q35)</f>
        <v>4311</v>
      </c>
      <c r="S35" s="29">
        <f t="shared" si="4"/>
        <v>3.7064872806000153</v>
      </c>
      <c r="T35" s="30">
        <f t="shared" si="5"/>
        <v>2.8825485192917344</v>
      </c>
      <c r="U35" s="31">
        <f t="shared" si="6"/>
        <v>0.55671537926235215</v>
      </c>
      <c r="V35" s="12">
        <f t="shared" si="7"/>
        <v>7.145751179154102</v>
      </c>
      <c r="W35" s="123">
        <f t="shared" ref="W35:W41" si="18">Istwerte</f>
        <v>0</v>
      </c>
      <c r="X35" s="3">
        <f t="shared" si="8"/>
        <v>7.145751179154102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21.437253537462304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11</v>
      </c>
      <c r="L36" s="27">
        <f>(D36+E36+F36+G36+H36+I36+J36+K36)/3</f>
        <v>7.333333333333333</v>
      </c>
      <c r="M36" s="27">
        <f t="shared" si="1"/>
        <v>14.666666666666666</v>
      </c>
      <c r="N36" s="32">
        <f t="shared" si="2"/>
        <v>22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3194</v>
      </c>
      <c r="P36" s="11">
        <f>E36*H36*KKslave+E36*FFslave*K36+KLslave*H36*K36</f>
        <v>1879</v>
      </c>
      <c r="Q36" s="22">
        <f t="shared" si="3"/>
        <v>330</v>
      </c>
      <c r="R36" s="20">
        <f t="shared" si="17"/>
        <v>5403</v>
      </c>
      <c r="S36" s="33">
        <f t="shared" si="4"/>
        <v>4.3351224628292915</v>
      </c>
      <c r="T36" s="26">
        <f t="shared" si="5"/>
        <v>5.1006231106175575</v>
      </c>
      <c r="U36" s="34">
        <f t="shared" si="6"/>
        <v>1.3436979455857856</v>
      </c>
      <c r="V36" s="13">
        <f t="shared" si="7"/>
        <v>10.779443519032634</v>
      </c>
      <c r="W36" s="123">
        <f t="shared" si="18"/>
        <v>0</v>
      </c>
      <c r="X36" s="4">
        <f t="shared" si="8"/>
        <v>10.779443519032634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10.779443519032634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6</v>
      </c>
      <c r="J37" s="21">
        <f>Konvention_1slave-KOslave</f>
        <v>6</v>
      </c>
      <c r="K37" s="22"/>
      <c r="L37" s="27">
        <f>(D37+E37+F37+G37+H37+I37+J37+K37)/3</f>
        <v>6</v>
      </c>
      <c r="M37" s="27">
        <f t="shared" si="1"/>
        <v>12</v>
      </c>
      <c r="N37" s="32">
        <f t="shared" si="2"/>
        <v>18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3042</v>
      </c>
      <c r="P37" s="11">
        <f>H37*I37*KOslave+H37*GEslave*J37+FFslave*I37*J37</f>
        <v>1404</v>
      </c>
      <c r="Q37" s="22">
        <f t="shared" si="3"/>
        <v>216</v>
      </c>
      <c r="R37" s="20">
        <f t="shared" si="17"/>
        <v>4662</v>
      </c>
      <c r="S37" s="33">
        <f t="shared" si="4"/>
        <v>3.9150579150579152</v>
      </c>
      <c r="T37" s="26">
        <f t="shared" si="5"/>
        <v>3.6138996138996138</v>
      </c>
      <c r="U37" s="34">
        <f t="shared" si="6"/>
        <v>0.83397683397683398</v>
      </c>
      <c r="V37" s="13">
        <f t="shared" si="7"/>
        <v>8.3629343629343627</v>
      </c>
      <c r="W37" s="123">
        <f t="shared" si="18"/>
        <v>0</v>
      </c>
      <c r="X37" s="4">
        <f t="shared" si="8"/>
        <v>8.3629343629343627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8.3629343629343627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1"/>
        <v>10</v>
      </c>
      <c r="N38" s="32">
        <f t="shared" si="2"/>
        <v>15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2940</v>
      </c>
      <c r="P38" s="11">
        <f>E38*F38*INslave+E38*INslave*F38+KLslave*F38*F38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7"/>
        <v>4115</v>
      </c>
      <c r="S38" s="33">
        <f t="shared" si="4"/>
        <v>3.5722964763061968</v>
      </c>
      <c r="T38" s="26">
        <f t="shared" si="5"/>
        <v>2.5516403402187122</v>
      </c>
      <c r="U38" s="34">
        <f t="shared" si="6"/>
        <v>0.45565006075334141</v>
      </c>
      <c r="V38" s="13">
        <f t="shared" si="7"/>
        <v>6.57958687727825</v>
      </c>
      <c r="W38" s="123">
        <f t="shared" si="18"/>
        <v>0</v>
      </c>
      <c r="X38" s="4">
        <f t="shared" si="8"/>
        <v>6.57958687727825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6</v>
      </c>
      <c r="I39" s="21"/>
      <c r="J39" s="21">
        <f>Konvention_1slave-KOslave</f>
        <v>6</v>
      </c>
      <c r="K39" s="22"/>
      <c r="L39" s="27">
        <f>(D39+E39+F39+G39+H39+I39+J39+K39)/3</f>
        <v>5.666666666666667</v>
      </c>
      <c r="M39" s="27">
        <f t="shared" si="1"/>
        <v>11.333333333333334</v>
      </c>
      <c r="N39" s="32">
        <f t="shared" si="2"/>
        <v>17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3029</v>
      </c>
      <c r="P39" s="11">
        <f>E39*H39*KOslave+E39*FFslave*J39+KLslave*H39*J39</f>
        <v>1284</v>
      </c>
      <c r="Q39" s="22">
        <f>IFERROR(D39^SIGN(D39),1)*IFERROR(E39^SIGN(E39),1)*IFERROR(F39^SIGN(F39),1)*IFERROR(G39^SIGN(G39),1)*IFERROR(H39^SIGN(H39),1)*IFERROR(I39^SIGN(I39),1)*IFERROR(J39^SIGN(J39),1)*IFERROR(K39^SIGN(K39),1)</f>
        <v>180</v>
      </c>
      <c r="R39" s="20">
        <f t="shared" si="17"/>
        <v>4493</v>
      </c>
      <c r="S39" s="33">
        <f t="shared" si="4"/>
        <v>3.8202388901253808</v>
      </c>
      <c r="T39" s="26">
        <f t="shared" si="5"/>
        <v>3.2388159359002895</v>
      </c>
      <c r="U39" s="34">
        <f t="shared" si="6"/>
        <v>0.68105942577342538</v>
      </c>
      <c r="V39" s="13">
        <f t="shared" si="7"/>
        <v>7.7401142517990964</v>
      </c>
      <c r="W39" s="123">
        <f t="shared" si="18"/>
        <v>0</v>
      </c>
      <c r="X39" s="4">
        <f t="shared" si="8"/>
        <v>7.7401142517990964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23.22034275539729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1"/>
        <v>11.333333333333334</v>
      </c>
      <c r="N40" s="32">
        <f t="shared" si="2"/>
        <v>17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3052</v>
      </c>
      <c r="P40" s="11">
        <f>D40*D40*CHslave+D40*MUslave*G40+MUslave*D40*G40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7"/>
        <v>4507</v>
      </c>
      <c r="S40" s="33">
        <f t="shared" si="4"/>
        <v>3.8372901412617413</v>
      </c>
      <c r="T40" s="26">
        <f t="shared" si="5"/>
        <v>3.2186968419495603</v>
      </c>
      <c r="U40" s="34">
        <f t="shared" si="6"/>
        <v>0.66008431329043715</v>
      </c>
      <c r="V40" s="13">
        <f t="shared" si="7"/>
        <v>7.7160712965017391</v>
      </c>
      <c r="W40" s="123">
        <f t="shared" si="18"/>
        <v>0</v>
      </c>
      <c r="X40" s="4">
        <f t="shared" si="8"/>
        <v>7.7160712965017391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6</v>
      </c>
      <c r="J41" s="19">
        <f>Konvention_1slave-KOslave</f>
        <v>6</v>
      </c>
      <c r="K41" s="23"/>
      <c r="L41" s="37">
        <f>(D41+E41+F41+G41+H41+I41+J41+K41)/3</f>
        <v>5.666666666666667</v>
      </c>
      <c r="M41" s="25">
        <f t="shared" si="1"/>
        <v>11.333333333333334</v>
      </c>
      <c r="N41" s="36">
        <f t="shared" si="2"/>
        <v>17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3029</v>
      </c>
      <c r="P41" s="19">
        <f>D41*I41*KOslave+D41*GEslave*J41+MUslave*I41*J41</f>
        <v>1284</v>
      </c>
      <c r="Q41" s="23">
        <f t="shared" si="3"/>
        <v>180</v>
      </c>
      <c r="R41" s="24">
        <f t="shared" si="17"/>
        <v>4493</v>
      </c>
      <c r="S41" s="37">
        <f t="shared" si="4"/>
        <v>3.8202388901253808</v>
      </c>
      <c r="T41" s="25">
        <f t="shared" si="5"/>
        <v>3.2388159359002895</v>
      </c>
      <c r="U41" s="38">
        <f t="shared" si="6"/>
        <v>0.68105942577342538</v>
      </c>
      <c r="V41" s="14">
        <f t="shared" si="7"/>
        <v>7.7401142517990964</v>
      </c>
      <c r="W41" s="123">
        <f t="shared" si="18"/>
        <v>0</v>
      </c>
      <c r="X41" s="5">
        <f t="shared" si="8"/>
        <v>7.7401142517990964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23.22034275539729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1"/>
        <v>10</v>
      </c>
      <c r="N43" s="28">
        <f t="shared" si="2"/>
        <v>15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2940</v>
      </c>
      <c r="P43" s="11">
        <f>E43*E43*INslave+E43*KLslave*F43+KLslave*E43*F43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4"/>
        <v>3.5722964763061968</v>
      </c>
      <c r="T43" s="30">
        <f t="shared" si="5"/>
        <v>2.5516403402187122</v>
      </c>
      <c r="U43" s="31">
        <f t="shared" si="6"/>
        <v>0.45565006075334141</v>
      </c>
      <c r="V43" s="12">
        <f t="shared" si="7"/>
        <v>6.57958687727825</v>
      </c>
      <c r="W43" s="123">
        <f t="shared" ref="W43:W54" si="21">Istwerte</f>
        <v>0</v>
      </c>
      <c r="X43" s="3">
        <f t="shared" si="8"/>
        <v>6.57958687727825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1"/>
        <v>10</v>
      </c>
      <c r="N44" s="32">
        <f t="shared" si="2"/>
        <v>15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2940</v>
      </c>
      <c r="P44" s="11">
        <f>E44*E44*INslave+E44*KLslave*F44+KLslave*E44*F44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22">SUM(O44:Q44)</f>
        <v>4115</v>
      </c>
      <c r="S44" s="33">
        <f t="shared" si="4"/>
        <v>3.5722964763061968</v>
      </c>
      <c r="T44" s="26">
        <f t="shared" si="5"/>
        <v>2.5516403402187122</v>
      </c>
      <c r="U44" s="34">
        <f t="shared" si="6"/>
        <v>0.45565006075334141</v>
      </c>
      <c r="V44" s="13">
        <f t="shared" si="7"/>
        <v>6.57958687727825</v>
      </c>
      <c r="W44" s="123">
        <f t="shared" si="21"/>
        <v>0</v>
      </c>
      <c r="X44" s="4">
        <f t="shared" si="8"/>
        <v>6.57958687727825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1"/>
        <v>10</v>
      </c>
      <c r="N45" s="32">
        <f t="shared" si="2"/>
        <v>15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2940</v>
      </c>
      <c r="P45" s="11">
        <f>E45*E45*INslave+E45*KLslave*F45+KLslave*E45*F45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22"/>
        <v>4115</v>
      </c>
      <c r="S45" s="33">
        <f t="shared" si="4"/>
        <v>3.5722964763061968</v>
      </c>
      <c r="T45" s="26">
        <f t="shared" si="5"/>
        <v>2.5516403402187122</v>
      </c>
      <c r="U45" s="34">
        <f t="shared" si="6"/>
        <v>0.45565006075334141</v>
      </c>
      <c r="V45" s="13">
        <f t="shared" si="7"/>
        <v>6.57958687727825</v>
      </c>
      <c r="W45" s="123">
        <f t="shared" si="21"/>
        <v>0</v>
      </c>
      <c r="X45" s="4">
        <f t="shared" si="8"/>
        <v>6.57958687727825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1"/>
        <v>10</v>
      </c>
      <c r="N46" s="32">
        <f t="shared" si="2"/>
        <v>15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2940</v>
      </c>
      <c r="P46" s="11">
        <f>E46*E46*INslave+E46*KLslave*F46+KLslave*E46*F46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22"/>
        <v>4115</v>
      </c>
      <c r="S46" s="33">
        <f t="shared" si="4"/>
        <v>3.5722964763061968</v>
      </c>
      <c r="T46" s="26">
        <f t="shared" si="5"/>
        <v>2.5516403402187122</v>
      </c>
      <c r="U46" s="34">
        <f t="shared" si="6"/>
        <v>0.45565006075334141</v>
      </c>
      <c r="V46" s="13">
        <f t="shared" si="7"/>
        <v>6.57958687727825</v>
      </c>
      <c r="W46" s="123">
        <f t="shared" si="21"/>
        <v>0</v>
      </c>
      <c r="X46" s="4">
        <f t="shared" si="8"/>
        <v>6.57958687727825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5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5</v>
      </c>
      <c r="M47" s="27">
        <f t="shared" si="1"/>
        <v>10</v>
      </c>
      <c r="N47" s="32">
        <f t="shared" si="2"/>
        <v>15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2940</v>
      </c>
      <c r="P47" s="11">
        <f>D47*E47*INslave+D47*KLslave*F47+MUslave*E47*F47</f>
        <v>1050</v>
      </c>
      <c r="Q47" s="22">
        <f t="shared" si="3"/>
        <v>125</v>
      </c>
      <c r="R47" s="20">
        <f t="shared" si="22"/>
        <v>4115</v>
      </c>
      <c r="S47" s="33">
        <f t="shared" si="4"/>
        <v>3.5722964763061968</v>
      </c>
      <c r="T47" s="26">
        <f t="shared" si="5"/>
        <v>2.5516403402187122</v>
      </c>
      <c r="U47" s="34">
        <f t="shared" si="6"/>
        <v>0.45565006075334141</v>
      </c>
      <c r="V47" s="13">
        <f t="shared" si="7"/>
        <v>6.57958687727825</v>
      </c>
      <c r="W47" s="123">
        <f t="shared" si="21"/>
        <v>0</v>
      </c>
      <c r="X47" s="4">
        <f t="shared" si="8"/>
        <v>6.57958687727825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13.1591737545565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1"/>
        <v>10</v>
      </c>
      <c r="N48" s="32">
        <f t="shared" si="2"/>
        <v>15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2940</v>
      </c>
      <c r="P48" s="11">
        <f>E48*E48*INslave+E48*KLslave*F48+KLslave*E48*F48</f>
        <v>1050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22"/>
        <v>4115</v>
      </c>
      <c r="S48" s="33">
        <f t="shared" si="4"/>
        <v>3.5722964763061968</v>
      </c>
      <c r="T48" s="26">
        <f t="shared" si="5"/>
        <v>2.5516403402187122</v>
      </c>
      <c r="U48" s="34">
        <f t="shared" si="6"/>
        <v>0.45565006075334141</v>
      </c>
      <c r="V48" s="13">
        <f t="shared" si="7"/>
        <v>6.57958687727825</v>
      </c>
      <c r="W48" s="123">
        <f t="shared" si="21"/>
        <v>0</v>
      </c>
      <c r="X48" s="4">
        <f t="shared" si="8"/>
        <v>6.57958687727825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5.333333333333333</v>
      </c>
      <c r="M49" s="27">
        <f t="shared" si="1"/>
        <v>10.666666666666666</v>
      </c>
      <c r="N49" s="32">
        <f t="shared" si="2"/>
        <v>16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2996</v>
      </c>
      <c r="P49" s="11">
        <f>E49*E49*FFslave+E49*KLslave*H49+KLslave*E49*H49</f>
        <v>1165</v>
      </c>
      <c r="Q49" s="22">
        <f t="shared" si="23"/>
        <v>150</v>
      </c>
      <c r="R49" s="20">
        <f t="shared" si="22"/>
        <v>4311</v>
      </c>
      <c r="S49" s="33">
        <f t="shared" si="4"/>
        <v>3.7064872806000153</v>
      </c>
      <c r="T49" s="26">
        <f t="shared" si="5"/>
        <v>2.8825485192917344</v>
      </c>
      <c r="U49" s="34">
        <f t="shared" si="6"/>
        <v>0.55671537926235215</v>
      </c>
      <c r="V49" s="13">
        <f t="shared" si="7"/>
        <v>7.145751179154102</v>
      </c>
      <c r="W49" s="123">
        <f t="shared" si="21"/>
        <v>0</v>
      </c>
      <c r="X49" s="4">
        <f t="shared" si="8"/>
        <v>7.145751179154102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1"/>
        <v>10</v>
      </c>
      <c r="N50" s="32">
        <f t="shared" si="2"/>
        <v>15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2940</v>
      </c>
      <c r="P50" s="11">
        <f>E50*E50*INslave+E50*KLslave*F50+KLslave*E50*F50</f>
        <v>1050</v>
      </c>
      <c r="Q50" s="22">
        <f t="shared" si="23"/>
        <v>125</v>
      </c>
      <c r="R50" s="20">
        <f t="shared" si="22"/>
        <v>4115</v>
      </c>
      <c r="S50" s="33">
        <f t="shared" si="4"/>
        <v>3.5722964763061968</v>
      </c>
      <c r="T50" s="26">
        <f t="shared" si="5"/>
        <v>2.5516403402187122</v>
      </c>
      <c r="U50" s="34">
        <f t="shared" si="6"/>
        <v>0.45565006075334141</v>
      </c>
      <c r="V50" s="13">
        <f t="shared" si="7"/>
        <v>6.57958687727825</v>
      </c>
      <c r="W50" s="123">
        <f t="shared" si="21"/>
        <v>0</v>
      </c>
      <c r="X50" s="4">
        <f t="shared" si="8"/>
        <v>6.57958687727825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1"/>
        <v>10</v>
      </c>
      <c r="N51" s="32">
        <f t="shared" si="2"/>
        <v>15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2940</v>
      </c>
      <c r="P51" s="11">
        <f>E51*E51*INslave+E51*KLslave*F51+KLslave*E51*F51</f>
        <v>1050</v>
      </c>
      <c r="Q51" s="22">
        <f t="shared" si="23"/>
        <v>125</v>
      </c>
      <c r="R51" s="20">
        <f t="shared" si="22"/>
        <v>4115</v>
      </c>
      <c r="S51" s="33">
        <f t="shared" si="4"/>
        <v>3.5722964763061968</v>
      </c>
      <c r="T51" s="26">
        <f t="shared" si="5"/>
        <v>2.5516403402187122</v>
      </c>
      <c r="U51" s="34">
        <f t="shared" si="6"/>
        <v>0.45565006075334141</v>
      </c>
      <c r="V51" s="13">
        <f t="shared" si="7"/>
        <v>6.57958687727825</v>
      </c>
      <c r="W51" s="123">
        <f t="shared" si="21"/>
        <v>0</v>
      </c>
      <c r="X51" s="4">
        <f t="shared" si="8"/>
        <v>6.57958687727825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1"/>
        <v>10</v>
      </c>
      <c r="N52" s="32">
        <f t="shared" si="2"/>
        <v>15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2940</v>
      </c>
      <c r="P52" s="11">
        <f>E52*E52*INslave+E52*KLslave*F52+KLslave*E52*F52</f>
        <v>1050</v>
      </c>
      <c r="Q52" s="22">
        <f t="shared" si="23"/>
        <v>125</v>
      </c>
      <c r="R52" s="20">
        <f t="shared" si="22"/>
        <v>4115</v>
      </c>
      <c r="S52" s="33">
        <f t="shared" si="4"/>
        <v>3.5722964763061968</v>
      </c>
      <c r="T52" s="26">
        <f t="shared" si="5"/>
        <v>2.5516403402187122</v>
      </c>
      <c r="U52" s="34">
        <f t="shared" si="6"/>
        <v>0.45565006075334141</v>
      </c>
      <c r="V52" s="13">
        <f t="shared" si="7"/>
        <v>6.57958687727825</v>
      </c>
      <c r="W52" s="123">
        <f t="shared" si="21"/>
        <v>0</v>
      </c>
      <c r="X52" s="4">
        <f t="shared" si="8"/>
        <v>6.57958687727825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1"/>
        <v>10</v>
      </c>
      <c r="N53" s="32">
        <f t="shared" si="2"/>
        <v>15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2940</v>
      </c>
      <c r="P53" s="11">
        <f>E53*E53*INslave+E53*KLslave*F53+KLslave*E53*F53</f>
        <v>1050</v>
      </c>
      <c r="Q53" s="22">
        <f t="shared" si="23"/>
        <v>125</v>
      </c>
      <c r="R53" s="20">
        <f t="shared" si="22"/>
        <v>4115</v>
      </c>
      <c r="S53" s="33">
        <f t="shared" si="4"/>
        <v>3.5722964763061968</v>
      </c>
      <c r="T53" s="26">
        <f t="shared" si="5"/>
        <v>2.5516403402187122</v>
      </c>
      <c r="U53" s="34">
        <f t="shared" si="6"/>
        <v>0.45565006075334141</v>
      </c>
      <c r="V53" s="13">
        <f t="shared" si="7"/>
        <v>6.57958687727825</v>
      </c>
      <c r="W53" s="123">
        <f t="shared" si="21"/>
        <v>0</v>
      </c>
      <c r="X53" s="4">
        <f t="shared" si="8"/>
        <v>6.57958687727825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1"/>
        <v>10</v>
      </c>
      <c r="N54" s="36">
        <f t="shared" si="2"/>
        <v>15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2940</v>
      </c>
      <c r="P54" s="19">
        <f>E54*E54*INslave+E54*KLslave*F54+KLslave*E54*F54</f>
        <v>1050</v>
      </c>
      <c r="Q54" s="23">
        <f t="shared" si="23"/>
        <v>125</v>
      </c>
      <c r="R54" s="24">
        <f>SUM(O54:Q54)</f>
        <v>4115</v>
      </c>
      <c r="S54" s="37">
        <f t="shared" si="4"/>
        <v>3.5722964763061968</v>
      </c>
      <c r="T54" s="25">
        <f t="shared" si="5"/>
        <v>2.5516403402187122</v>
      </c>
      <c r="U54" s="38">
        <f t="shared" si="6"/>
        <v>0.45565006075334141</v>
      </c>
      <c r="V54" s="14">
        <f t="shared" si="7"/>
        <v>6.57958687727825</v>
      </c>
      <c r="W54" s="123">
        <f t="shared" si="21"/>
        <v>0</v>
      </c>
      <c r="X54" s="5">
        <f t="shared" si="8"/>
        <v>6.57958687727825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5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5.333333333333333</v>
      </c>
      <c r="M56" s="27">
        <f t="shared" si="1"/>
        <v>10.666666666666666</v>
      </c>
      <c r="N56" s="28">
        <f t="shared" si="2"/>
        <v>16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2996</v>
      </c>
      <c r="P56" s="11">
        <f>D56*E56*FFslave+D56*KLslave*H56+MUslave*E56*H56</f>
        <v>1165</v>
      </c>
      <c r="Q56" s="62">
        <f t="shared" si="3"/>
        <v>150</v>
      </c>
      <c r="R56" s="60">
        <f>SUM(O56:Q56)</f>
        <v>4311</v>
      </c>
      <c r="S56" s="29">
        <f t="shared" si="4"/>
        <v>3.7064872806000153</v>
      </c>
      <c r="T56" s="30">
        <f t="shared" si="5"/>
        <v>2.8825485192917344</v>
      </c>
      <c r="U56" s="31">
        <f t="shared" si="6"/>
        <v>0.55671537926235215</v>
      </c>
      <c r="V56" s="12">
        <f t="shared" si="7"/>
        <v>7.145751179154102</v>
      </c>
      <c r="W56" s="123">
        <f t="shared" ref="W56:W72" si="26">Istwerte</f>
        <v>0</v>
      </c>
      <c r="X56" s="3">
        <f t="shared" si="8"/>
        <v>7.145751179154102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21.437253537462304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6</v>
      </c>
      <c r="J57" s="21"/>
      <c r="K57" s="22">
        <f>Konvention_1slave-KKslave</f>
        <v>11</v>
      </c>
      <c r="L57" s="27">
        <f t="shared" si="24"/>
        <v>7.666666666666667</v>
      </c>
      <c r="M57" s="27">
        <f t="shared" si="1"/>
        <v>15.333333333333334</v>
      </c>
      <c r="N57" s="32">
        <f t="shared" si="2"/>
        <v>23</v>
      </c>
      <c r="O57" s="11">
        <f t="shared" si="25"/>
        <v>3107</v>
      </c>
      <c r="P57" s="11">
        <f>H57*I57*KKslave+H57*GEslave*K57+FFslave*I57*K57</f>
        <v>2004</v>
      </c>
      <c r="Q57" s="22">
        <f t="shared" si="3"/>
        <v>396</v>
      </c>
      <c r="R57" s="20">
        <f t="shared" ref="R57:R71" si="27">SUM(O57:Q57)</f>
        <v>5507</v>
      </c>
      <c r="S57" s="33">
        <f t="shared" si="4"/>
        <v>4.3254645602566439</v>
      </c>
      <c r="T57" s="26">
        <f t="shared" si="5"/>
        <v>5.5798075177047393</v>
      </c>
      <c r="U57" s="34">
        <f t="shared" si="6"/>
        <v>1.6538950426729617</v>
      </c>
      <c r="V57" s="13">
        <f t="shared" si="7"/>
        <v>11.559167120634346</v>
      </c>
      <c r="W57" s="123">
        <f t="shared" si="26"/>
        <v>0</v>
      </c>
      <c r="X57" s="4">
        <f t="shared" si="8"/>
        <v>11.559167120634346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23.118334241268691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6</v>
      </c>
      <c r="I58" s="21"/>
      <c r="J58" s="21">
        <f>Konvention_1slave-KOslave</f>
        <v>6</v>
      </c>
      <c r="K58" s="22"/>
      <c r="L58" s="27">
        <f t="shared" si="24"/>
        <v>6.333333333333333</v>
      </c>
      <c r="M58" s="27">
        <f t="shared" si="1"/>
        <v>12.666666666666666</v>
      </c>
      <c r="N58" s="32">
        <f t="shared" si="2"/>
        <v>19</v>
      </c>
      <c r="O58" s="11">
        <f t="shared" si="25"/>
        <v>3055</v>
      </c>
      <c r="P58" s="11">
        <f>G58*H58*KOslave+G58*FFslave*J58+CHslave*H58*J58</f>
        <v>1524</v>
      </c>
      <c r="Q58" s="22">
        <f t="shared" si="3"/>
        <v>252</v>
      </c>
      <c r="R58" s="20">
        <f t="shared" si="27"/>
        <v>4831</v>
      </c>
      <c r="S58" s="33">
        <f t="shared" si="4"/>
        <v>4.0050369143724556</v>
      </c>
      <c r="T58" s="26">
        <f t="shared" si="5"/>
        <v>3.9958600703788036</v>
      </c>
      <c r="U58" s="34">
        <f t="shared" si="6"/>
        <v>0.99109915131442761</v>
      </c>
      <c r="V58" s="13">
        <f t="shared" si="7"/>
        <v>8.991996136065687</v>
      </c>
      <c r="W58" s="123">
        <f t="shared" si="26"/>
        <v>0</v>
      </c>
      <c r="X58" s="4">
        <f t="shared" si="8"/>
        <v>8.991996136065687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8.991996136065687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5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5.666666666666667</v>
      </c>
      <c r="M59" s="27">
        <f t="shared" si="1"/>
        <v>11.333333333333334</v>
      </c>
      <c r="N59" s="32">
        <f t="shared" si="2"/>
        <v>17</v>
      </c>
      <c r="O59" s="11">
        <f t="shared" si="25"/>
        <v>3052</v>
      </c>
      <c r="P59" s="11">
        <f>E59*F59*CHslave+E59*INslave*G59+KLslave*F59*G59</f>
        <v>1280</v>
      </c>
      <c r="Q59" s="22">
        <f t="shared" si="3"/>
        <v>175</v>
      </c>
      <c r="R59" s="20">
        <f t="shared" si="27"/>
        <v>4507</v>
      </c>
      <c r="S59" s="33">
        <f t="shared" si="4"/>
        <v>3.8372901412617413</v>
      </c>
      <c r="T59" s="26">
        <f t="shared" si="5"/>
        <v>3.2186968419495603</v>
      </c>
      <c r="U59" s="34">
        <f t="shared" si="6"/>
        <v>0.66008431329043715</v>
      </c>
      <c r="V59" s="13">
        <f t="shared" si="7"/>
        <v>7.7160712965017391</v>
      </c>
      <c r="W59" s="123">
        <f t="shared" si="26"/>
        <v>0</v>
      </c>
      <c r="X59" s="4">
        <f t="shared" si="8"/>
        <v>7.7160712965017391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15.432142593003478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5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5</v>
      </c>
      <c r="M60" s="27">
        <f t="shared" si="1"/>
        <v>10</v>
      </c>
      <c r="N60" s="32">
        <f t="shared" si="2"/>
        <v>15</v>
      </c>
      <c r="O60" s="11">
        <f t="shared" si="25"/>
        <v>2940</v>
      </c>
      <c r="P60" s="11">
        <f>D60*E60*INslave+D60*KLslave*F60+MUslave*E60*F60</f>
        <v>1050</v>
      </c>
      <c r="Q60" s="22">
        <f t="shared" si="3"/>
        <v>125</v>
      </c>
      <c r="R60" s="20">
        <f t="shared" si="27"/>
        <v>4115</v>
      </c>
      <c r="S60" s="33">
        <f t="shared" si="4"/>
        <v>3.5722964763061968</v>
      </c>
      <c r="T60" s="26">
        <f t="shared" si="5"/>
        <v>2.5516403402187122</v>
      </c>
      <c r="U60" s="34">
        <f t="shared" si="6"/>
        <v>0.45565006075334141</v>
      </c>
      <c r="V60" s="13">
        <f t="shared" si="7"/>
        <v>6.57958687727825</v>
      </c>
      <c r="W60" s="123">
        <f t="shared" si="26"/>
        <v>0</v>
      </c>
      <c r="X60" s="4">
        <f t="shared" si="8"/>
        <v>6.57958687727825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13.1591737545565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5.333333333333333</v>
      </c>
      <c r="M61" s="27">
        <f t="shared" si="1"/>
        <v>10.666666666666666</v>
      </c>
      <c r="N61" s="32">
        <f t="shared" si="2"/>
        <v>16</v>
      </c>
      <c r="O61" s="11">
        <f t="shared" si="25"/>
        <v>2996</v>
      </c>
      <c r="P61" s="11">
        <f>D61*F61*KOslave+D61*INslave*J61+MUslave*F61*J61</f>
        <v>1165</v>
      </c>
      <c r="Q61" s="22">
        <f t="shared" si="3"/>
        <v>150</v>
      </c>
      <c r="R61" s="20">
        <f t="shared" si="27"/>
        <v>4311</v>
      </c>
      <c r="S61" s="33">
        <f t="shared" si="4"/>
        <v>3.7064872806000153</v>
      </c>
      <c r="T61" s="26">
        <f t="shared" si="5"/>
        <v>2.8825485192917344</v>
      </c>
      <c r="U61" s="34">
        <f t="shared" si="6"/>
        <v>0.55671537926235215</v>
      </c>
      <c r="V61" s="13">
        <f t="shared" si="7"/>
        <v>7.145751179154102</v>
      </c>
      <c r="W61" s="123">
        <f t="shared" si="26"/>
        <v>0</v>
      </c>
      <c r="X61" s="4">
        <f t="shared" si="8"/>
        <v>7.145751179154102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14.291502358308204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7</v>
      </c>
      <c r="H62" s="21"/>
      <c r="I62" s="21"/>
      <c r="J62" s="21">
        <f>Konvention_1slave-KOslave</f>
        <v>6</v>
      </c>
      <c r="K62" s="22"/>
      <c r="L62" s="27">
        <f t="shared" si="24"/>
        <v>6</v>
      </c>
      <c r="M62" s="27">
        <f t="shared" si="1"/>
        <v>12</v>
      </c>
      <c r="N62" s="32">
        <f t="shared" si="2"/>
        <v>18</v>
      </c>
      <c r="O62" s="11">
        <f t="shared" si="25"/>
        <v>3062</v>
      </c>
      <c r="P62" s="11">
        <f>F62*G62*KOslave+F62*CHslave*J62+INslave*G62*J62</f>
        <v>1403</v>
      </c>
      <c r="Q62" s="22">
        <f t="shared" si="3"/>
        <v>210</v>
      </c>
      <c r="R62" s="20">
        <f t="shared" si="27"/>
        <v>4675</v>
      </c>
      <c r="S62" s="33">
        <f t="shared" si="4"/>
        <v>3.9298395721925132</v>
      </c>
      <c r="T62" s="26">
        <f t="shared" si="5"/>
        <v>3.6012834224598929</v>
      </c>
      <c r="U62" s="34">
        <f t="shared" si="6"/>
        <v>0.80855614973262036</v>
      </c>
      <c r="V62" s="13">
        <f t="shared" si="7"/>
        <v>8.3396791443850269</v>
      </c>
      <c r="W62" s="123">
        <f t="shared" si="26"/>
        <v>0</v>
      </c>
      <c r="X62" s="4">
        <f t="shared" si="8"/>
        <v>8.3396791443850269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16.679358288770054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5.666666666666667</v>
      </c>
      <c r="M63" s="27">
        <f t="shared" si="1"/>
        <v>11.333333333333334</v>
      </c>
      <c r="N63" s="32">
        <f t="shared" si="2"/>
        <v>17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3029</v>
      </c>
      <c r="P63" s="11">
        <f>E63*H63*FFslave+E63*FFslave*H63+KLslave*H63*H63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7"/>
        <v>4493</v>
      </c>
      <c r="S63" s="33">
        <f t="shared" si="4"/>
        <v>3.8202388901253808</v>
      </c>
      <c r="T63" s="26">
        <f t="shared" si="5"/>
        <v>3.2388159359002895</v>
      </c>
      <c r="U63" s="34">
        <f t="shared" si="6"/>
        <v>0.68105942577342538</v>
      </c>
      <c r="V63" s="13">
        <f t="shared" si="7"/>
        <v>7.7401142517990964</v>
      </c>
      <c r="W63" s="123">
        <f t="shared" si="26"/>
        <v>0</v>
      </c>
      <c r="X63" s="4">
        <f t="shared" si="8"/>
        <v>7.7401142517990964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6</v>
      </c>
      <c r="J64" s="21"/>
      <c r="K64" s="22">
        <f>Konvention_1slave-KKslave</f>
        <v>11</v>
      </c>
      <c r="L64" s="27">
        <f>(D64+E64+F64+G64+H64+I64+J64+K64)/3</f>
        <v>7.666666666666667</v>
      </c>
      <c r="M64" s="27">
        <f t="shared" si="1"/>
        <v>15.333333333333334</v>
      </c>
      <c r="N64" s="32">
        <f t="shared" si="2"/>
        <v>23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3107</v>
      </c>
      <c r="P64" s="11">
        <f>H64*I64*KKslave+H64*GEslave*K64+FFslave*I64*K64</f>
        <v>2004</v>
      </c>
      <c r="Q64" s="22">
        <f t="shared" si="3"/>
        <v>396</v>
      </c>
      <c r="R64" s="20">
        <f t="shared" si="27"/>
        <v>5507</v>
      </c>
      <c r="S64" s="33">
        <f t="shared" si="4"/>
        <v>4.3254645602566439</v>
      </c>
      <c r="T64" s="26">
        <f t="shared" si="5"/>
        <v>5.5798075177047393</v>
      </c>
      <c r="U64" s="34">
        <f t="shared" si="6"/>
        <v>1.6538950426729617</v>
      </c>
      <c r="V64" s="13">
        <f t="shared" si="7"/>
        <v>11.559167120634346</v>
      </c>
      <c r="W64" s="123">
        <f t="shared" si="26"/>
        <v>0</v>
      </c>
      <c r="X64" s="4">
        <f t="shared" si="8"/>
        <v>11.559167120634346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23.118334241268691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6</v>
      </c>
      <c r="I65" s="21"/>
      <c r="J65" s="21"/>
      <c r="K65" s="22"/>
      <c r="L65" s="27">
        <f>(F65+H65+H65)/3</f>
        <v>5.666666666666667</v>
      </c>
      <c r="M65" s="27">
        <f t="shared" si="1"/>
        <v>11.333333333333334</v>
      </c>
      <c r="N65" s="32">
        <f t="shared" si="2"/>
        <v>17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3029</v>
      </c>
      <c r="P65" s="11">
        <f>F65*H65*FFslave+F65*FFslave*H65+INslave*H65*H65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7"/>
        <v>4493</v>
      </c>
      <c r="S65" s="33">
        <f t="shared" si="4"/>
        <v>3.8202388901253808</v>
      </c>
      <c r="T65" s="26">
        <f t="shared" si="5"/>
        <v>3.2388159359002895</v>
      </c>
      <c r="U65" s="34">
        <f t="shared" si="6"/>
        <v>0.68105942577342538</v>
      </c>
      <c r="V65" s="13">
        <f t="shared" si="7"/>
        <v>7.7401142517990964</v>
      </c>
      <c r="W65" s="123">
        <f t="shared" si="26"/>
        <v>0</v>
      </c>
      <c r="X65" s="4">
        <f t="shared" si="8"/>
        <v>7.7401142517990964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6</v>
      </c>
      <c r="J66" s="21">
        <f>Konvention_1slave-KOslave</f>
        <v>6</v>
      </c>
      <c r="K66" s="22"/>
      <c r="L66" s="27">
        <f>(D66+E66+F66+G66+H66+I66+J66+K66)/3</f>
        <v>6</v>
      </c>
      <c r="M66" s="27">
        <f t="shared" si="1"/>
        <v>12</v>
      </c>
      <c r="N66" s="32">
        <f t="shared" si="2"/>
        <v>18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3042</v>
      </c>
      <c r="P66" s="11">
        <f>H66*I66*KOslave+H66*GEslave*J66+FFslave*I66*J66</f>
        <v>1404</v>
      </c>
      <c r="Q66" s="22">
        <f t="shared" si="3"/>
        <v>216</v>
      </c>
      <c r="R66" s="20">
        <f t="shared" si="27"/>
        <v>4662</v>
      </c>
      <c r="S66" s="33">
        <f t="shared" si="4"/>
        <v>3.9150579150579152</v>
      </c>
      <c r="T66" s="26">
        <f t="shared" si="5"/>
        <v>3.6138996138996138</v>
      </c>
      <c r="U66" s="34">
        <f t="shared" si="6"/>
        <v>0.83397683397683398</v>
      </c>
      <c r="V66" s="13">
        <f t="shared" si="7"/>
        <v>8.3629343629343627</v>
      </c>
      <c r="W66" s="123">
        <f t="shared" si="26"/>
        <v>0</v>
      </c>
      <c r="X66" s="4">
        <f t="shared" si="8"/>
        <v>8.3629343629343627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16.725868725868725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6</v>
      </c>
      <c r="I67" s="21"/>
      <c r="J67" s="21"/>
      <c r="K67" s="22"/>
      <c r="L67" s="27">
        <f>(F67+H67+H67)/3</f>
        <v>5.666666666666667</v>
      </c>
      <c r="M67" s="27">
        <f t="shared" si="1"/>
        <v>11.333333333333334</v>
      </c>
      <c r="N67" s="32">
        <f t="shared" si="2"/>
        <v>17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3029</v>
      </c>
      <c r="P67" s="11">
        <f>F67*H67*FFslave+F67*FFslave*H67+INslave*H67*H67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7"/>
        <v>4493</v>
      </c>
      <c r="S67" s="33">
        <f t="shared" si="4"/>
        <v>3.8202388901253808</v>
      </c>
      <c r="T67" s="26">
        <f t="shared" si="5"/>
        <v>3.2388159359002895</v>
      </c>
      <c r="U67" s="34">
        <f t="shared" si="6"/>
        <v>0.68105942577342538</v>
      </c>
      <c r="V67" s="13">
        <f t="shared" si="7"/>
        <v>7.7401142517990964</v>
      </c>
      <c r="W67" s="123">
        <f t="shared" si="26"/>
        <v>0</v>
      </c>
      <c r="X67" s="4">
        <f t="shared" si="8"/>
        <v>7.7401142517990964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6</v>
      </c>
      <c r="K68" s="22">
        <f>Konvention_1slave-KKslave</f>
        <v>11</v>
      </c>
      <c r="L68" s="27">
        <f>(D68+E68+F68+G68+H68+I68+J68+K68)/3</f>
        <v>7.666666666666667</v>
      </c>
      <c r="M68" s="27">
        <f t="shared" si="1"/>
        <v>15.333333333333334</v>
      </c>
      <c r="N68" s="32">
        <f t="shared" si="2"/>
        <v>23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3107</v>
      </c>
      <c r="P68" s="11">
        <f>H68*J68*KKslave+H68*KOslave*K68+FFslave*J68*K68</f>
        <v>2004</v>
      </c>
      <c r="Q68" s="22">
        <f>IFERROR(D68^SIGN(D68),1)*IFERROR(E68^SIGN(E68),1)*IFERROR(F68^SIGN(F68),1)*IFERROR(G68^SIGN(G68),1)*IFERROR(H68^SIGN(H68),1)*IFERROR(I68^SIGN(I68),1)*IFERROR(J68^SIGN(J68),1)*IFERROR(K68^SIGN(K68),1)</f>
        <v>396</v>
      </c>
      <c r="R68" s="20">
        <f t="shared" si="27"/>
        <v>5507</v>
      </c>
      <c r="S68" s="33">
        <f t="shared" si="4"/>
        <v>4.3254645602566439</v>
      </c>
      <c r="T68" s="26">
        <f t="shared" si="5"/>
        <v>5.5798075177047393</v>
      </c>
      <c r="U68" s="34">
        <f t="shared" si="6"/>
        <v>1.6538950426729617</v>
      </c>
      <c r="V68" s="13">
        <f t="shared" si="7"/>
        <v>11.559167120634346</v>
      </c>
      <c r="W68" s="123">
        <f t="shared" si="26"/>
        <v>0</v>
      </c>
      <c r="X68" s="4">
        <f t="shared" si="8"/>
        <v>11.559167120634346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34.67750136190304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6</v>
      </c>
      <c r="I69" s="21"/>
      <c r="J69" s="21">
        <f>Konvention_1slave-KOslave</f>
        <v>6</v>
      </c>
      <c r="K69" s="22"/>
      <c r="L69" s="27">
        <f>(D69+E69+F69+G69+H69+I69+J69+K69)/3</f>
        <v>6.333333333333333</v>
      </c>
      <c r="M69" s="27">
        <f t="shared" si="1"/>
        <v>12.666666666666666</v>
      </c>
      <c r="N69" s="32">
        <f t="shared" si="2"/>
        <v>19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3055</v>
      </c>
      <c r="P69" s="11">
        <f>G69*H69*KOslave+G69*FFslave*J69+CHslave*H69*J69</f>
        <v>1524</v>
      </c>
      <c r="Q69" s="22">
        <f>IFERROR(D69^SIGN(D69),1)*IFERROR(E69^SIGN(E69),1)*IFERROR(F69^SIGN(F69),1)*IFERROR(G69^SIGN(G69),1)*IFERROR(H69^SIGN(H69),1)*IFERROR(I69^SIGN(I69),1)*IFERROR(J69^SIGN(J69),1)*IFERROR(K69^SIGN(K69),1)</f>
        <v>252</v>
      </c>
      <c r="R69" s="20">
        <f t="shared" si="27"/>
        <v>4831</v>
      </c>
      <c r="S69" s="33">
        <f t="shared" si="4"/>
        <v>4.0050369143724556</v>
      </c>
      <c r="T69" s="26">
        <f t="shared" si="5"/>
        <v>3.9958600703788036</v>
      </c>
      <c r="U69" s="34">
        <f t="shared" si="6"/>
        <v>0.99109915131442761</v>
      </c>
      <c r="V69" s="13">
        <f t="shared" si="7"/>
        <v>8.991996136065687</v>
      </c>
      <c r="W69" s="123">
        <f t="shared" si="26"/>
        <v>0</v>
      </c>
      <c r="X69" s="4">
        <f t="shared" si="8"/>
        <v>8.991996136065687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8.991996136065687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6</v>
      </c>
      <c r="I70" s="21"/>
      <c r="J70" s="21"/>
      <c r="K70" s="22"/>
      <c r="L70" s="27">
        <f>(F70+H70+H70)/3</f>
        <v>5.666666666666667</v>
      </c>
      <c r="M70" s="27">
        <f t="shared" si="1"/>
        <v>11.333333333333334</v>
      </c>
      <c r="N70" s="32">
        <f t="shared" si="2"/>
        <v>17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3029</v>
      </c>
      <c r="P70" s="11">
        <f>F70*H70*FFslave+F70*FFslave*H70+INslave*H70*H70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7"/>
        <v>4493</v>
      </c>
      <c r="S70" s="33">
        <f t="shared" si="4"/>
        <v>3.8202388901253808</v>
      </c>
      <c r="T70" s="26">
        <f t="shared" si="5"/>
        <v>3.2388159359002895</v>
      </c>
      <c r="U70" s="34">
        <f t="shared" si="6"/>
        <v>0.68105942577342538</v>
      </c>
      <c r="V70" s="13">
        <f t="shared" si="7"/>
        <v>7.7401142517990964</v>
      </c>
      <c r="W70" s="123">
        <f t="shared" si="26"/>
        <v>0</v>
      </c>
      <c r="X70" s="4">
        <f t="shared" si="8"/>
        <v>7.7401142517990964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11</v>
      </c>
      <c r="L71" s="27">
        <f>(H71+H71+K71)/3</f>
        <v>7.666666666666667</v>
      </c>
      <c r="M71" s="27">
        <f t="shared" si="1"/>
        <v>15.333333333333334</v>
      </c>
      <c r="N71" s="32">
        <f t="shared" si="2"/>
        <v>23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3107</v>
      </c>
      <c r="P71" s="11">
        <f>H71*H71*KKslave+H71*FFslave*K71+FFslave*H71*K71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7"/>
        <v>5507</v>
      </c>
      <c r="S71" s="33">
        <f t="shared" si="4"/>
        <v>4.3254645602566439</v>
      </c>
      <c r="T71" s="26">
        <f t="shared" si="5"/>
        <v>5.5798075177047393</v>
      </c>
      <c r="U71" s="34">
        <f t="shared" si="6"/>
        <v>1.6538950426729617</v>
      </c>
      <c r="V71" s="13">
        <f t="shared" si="7"/>
        <v>11.559167120634346</v>
      </c>
      <c r="W71" s="123">
        <f t="shared" si="26"/>
        <v>0</v>
      </c>
      <c r="X71" s="4">
        <f t="shared" si="8"/>
        <v>11.559167120634346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5.666666666666667</v>
      </c>
      <c r="M72" s="25">
        <f t="shared" si="1"/>
        <v>11.333333333333334</v>
      </c>
      <c r="N72" s="36">
        <f t="shared" si="2"/>
        <v>17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3029</v>
      </c>
      <c r="P72" s="19">
        <f>E72*H72*FFslave+E72*FFslave*H72+KLslave*H72*H72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4"/>
        <v>3.8202388901253808</v>
      </c>
      <c r="T72" s="25">
        <f t="shared" si="5"/>
        <v>3.2388159359002895</v>
      </c>
      <c r="U72" s="38">
        <f t="shared" si="6"/>
        <v>0.68105942577342538</v>
      </c>
      <c r="V72" s="14">
        <f t="shared" si="7"/>
        <v>7.7401142517990964</v>
      </c>
      <c r="W72" s="123">
        <f t="shared" si="26"/>
        <v>0</v>
      </c>
      <c r="X72" s="5">
        <f t="shared" si="8"/>
        <v>7.7401142517990964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3021.3389830508477</v>
      </c>
      <c r="P74" s="30">
        <f>AVERAGE(P10:P72)</f>
        <v>1370.5593220338983</v>
      </c>
      <c r="Q74" s="31">
        <f>AVERAGE(Q10:Q72)</f>
        <v>210.5084745762712</v>
      </c>
      <c r="R74" s="31">
        <f>O74+P74+Q74</f>
        <v>4602.406779661017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113.75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8.226798271337735</v>
      </c>
      <c r="W75" s="56">
        <f>W78/COUNT(W10:W72)</f>
        <v>0</v>
      </c>
      <c r="X75" s="56">
        <f>X78/COUNTIF(X10:X72,"&gt;0")</f>
        <v>8.226798271337735</v>
      </c>
      <c r="Y75" s="136">
        <v>0</v>
      </c>
      <c r="Z75" s="74">
        <f>Z78/COUNTIF(Z10:Z72,"&gt;0")</f>
        <v>17.346097080296506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140</v>
      </c>
      <c r="F78" s="45">
        <f t="shared" si="29"/>
        <v>150</v>
      </c>
      <c r="G78" s="45">
        <f t="shared" si="29"/>
        <v>126</v>
      </c>
      <c r="H78" s="45">
        <f t="shared" si="29"/>
        <v>114</v>
      </c>
      <c r="I78" s="45">
        <f t="shared" si="29"/>
        <v>90</v>
      </c>
      <c r="J78" s="45">
        <f t="shared" si="29"/>
        <v>90</v>
      </c>
      <c r="K78" s="46">
        <f t="shared" si="29"/>
        <v>110</v>
      </c>
      <c r="L78" s="50">
        <f>SUM(L10:L72)</f>
        <v>348.33333333333348</v>
      </c>
      <c r="M78" s="51">
        <f>SUM(M10:M72)</f>
        <v>696.66666666666697</v>
      </c>
      <c r="N78" s="52">
        <f>SUM(N10:N72)</f>
        <v>1045</v>
      </c>
      <c r="O78" s="47">
        <f>O74/O76</f>
        <v>0.44049263493961915</v>
      </c>
      <c r="P78" s="48">
        <f>P74/P76</f>
        <v>0.19981911678581402</v>
      </c>
      <c r="Q78" s="49">
        <f>Q74/Q76</f>
        <v>3.0690840439753782E-2</v>
      </c>
      <c r="R78" s="47">
        <f>O78+P78+Q78</f>
        <v>0.67100259216518698</v>
      </c>
      <c r="S78" s="47">
        <f>L78*O74/R74</f>
        <v>228.67015661174588</v>
      </c>
      <c r="T78" s="48">
        <f>M78*P74/R74</f>
        <v>207.461669526875</v>
      </c>
      <c r="U78" s="49">
        <f>N78*Q74/R74</f>
        <v>47.797025874450362</v>
      </c>
      <c r="V78" s="53">
        <f>SUMIF(V10:V72,"&gt;0")</f>
        <v>485.38109800892636</v>
      </c>
      <c r="W78" s="66">
        <f>SUM(W10:W72)</f>
        <v>0</v>
      </c>
      <c r="X78" s="53">
        <f>SUMIF(X10:X72,"&gt;0")</f>
        <v>485.38109800892636</v>
      </c>
      <c r="Y78" s="53">
        <f>SUMIF(Y10:Y72,"&gt;0")</f>
        <v>0</v>
      </c>
      <c r="Z78" s="86">
        <f>SUMIF(Z10:Z72,"&gt;0")</f>
        <v>1023.4197277374939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3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5" priority="74" operator="lessThanOrEqual">
      <formula>0</formula>
    </cfRule>
  </conditionalFormatting>
  <conditionalFormatting sqref="J75:K75 D78:K78">
    <cfRule type="colorScale" priority="73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4" priority="9" operator="lessThanOrEqual">
      <formula>0</formula>
    </cfRule>
  </conditionalFormatting>
  <conditionalFormatting sqref="X56:X75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1"/>
  <sheetViews>
    <sheetView topLeftCell="A40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</f>
        <v>14</v>
      </c>
      <c r="F2" s="95">
        <f>INmaster</f>
        <v>14</v>
      </c>
      <c r="G2" s="95">
        <f>CHmaster</f>
        <v>12</v>
      </c>
      <c r="H2" s="95">
        <f>FFmaster</f>
        <v>13</v>
      </c>
      <c r="I2" s="95">
        <f>GEmaster</f>
        <v>12</v>
      </c>
      <c r="J2" s="95">
        <f>KOmaster+1</f>
        <v>14</v>
      </c>
      <c r="K2" s="95">
        <f>KKmaster</f>
        <v>8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0</v>
      </c>
      <c r="L5" s="91">
        <f>SUM(D5:K5)</f>
        <v>555</v>
      </c>
      <c r="M5" s="92">
        <f>W81</f>
        <v>0</v>
      </c>
      <c r="N5" s="93">
        <f>L5+M5</f>
        <v>555</v>
      </c>
      <c r="O5" s="125">
        <v>1100</v>
      </c>
      <c r="P5" s="94">
        <f>O5-N5</f>
        <v>545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5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5.666666666666667</v>
      </c>
      <c r="M10" s="27">
        <f>2*L10</f>
        <v>11.333333333333334</v>
      </c>
      <c r="N10" s="28">
        <f>3*L10</f>
        <v>17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3052</v>
      </c>
      <c r="P10" s="11">
        <f>D10*F10*GEslave+D10*INslave*I10+MUslave*F10*I10</f>
        <v>1280</v>
      </c>
      <c r="Q10" s="62">
        <f>IFERROR(D10^SIGN(D10),1)*IFERROR(E10^SIGN(E10),1)*IFERROR(F10^SIGN(F10),1)*IFERROR(G10^SIGN(G10),1)*IFERROR(H10^SIGN(H10),1)*IFERROR(I10^SIGN(I10),1)*IFERROR(J10^SIGN(J10),1)*IFERROR(K10^SIGN(K10),1)</f>
        <v>175</v>
      </c>
      <c r="R10" s="60">
        <f>SUM(O10:Q10)</f>
        <v>4507</v>
      </c>
      <c r="S10" s="29">
        <f>L10*O10/R10</f>
        <v>3.8372901412617413</v>
      </c>
      <c r="T10" s="30">
        <f>M10*P10/R10</f>
        <v>3.2186968419495603</v>
      </c>
      <c r="U10" s="31">
        <f>N10*Q10/R10</f>
        <v>0.66008431329043715</v>
      </c>
      <c r="V10" s="3">
        <f>SUM(S10:U10)</f>
        <v>7.7160712965017391</v>
      </c>
      <c r="W10" s="129">
        <f t="shared" ref="W10:W23" si="0">Istwerte</f>
        <v>0</v>
      </c>
      <c r="X10" s="3">
        <f>V10-W10</f>
        <v>7.7160712965017391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15.432142593003478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7</v>
      </c>
      <c r="H11" s="21">
        <f>Konvention_1slave-FFslave</f>
        <v>6</v>
      </c>
      <c r="I11" s="21"/>
      <c r="J11" s="21"/>
      <c r="K11" s="22"/>
      <c r="L11" s="27">
        <f>(D11+E11+F11+G11+H11+I11+J11+K11)/3</f>
        <v>6</v>
      </c>
      <c r="M11" s="27">
        <f t="shared" ref="M11:M72" si="1">2*L11</f>
        <v>12</v>
      </c>
      <c r="N11" s="32">
        <f t="shared" ref="N11:N72" si="2">3*L11</f>
        <v>18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3062</v>
      </c>
      <c r="P11" s="11">
        <f>D11*G11*FFslave+D11*CHslave*H11+MUslave*G11*H11</f>
        <v>1403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210</v>
      </c>
      <c r="R11" s="20">
        <f>SUM(O11:Q11)</f>
        <v>4675</v>
      </c>
      <c r="S11" s="33">
        <f t="shared" ref="S11:S72" si="4">L11*O11/R11</f>
        <v>3.9298395721925132</v>
      </c>
      <c r="T11" s="26">
        <f t="shared" ref="T11:T72" si="5">M11*P11/R11</f>
        <v>3.6012834224598929</v>
      </c>
      <c r="U11" s="34">
        <f t="shared" ref="U11:U72" si="6">N11*Q11/R11</f>
        <v>0.80855614973262036</v>
      </c>
      <c r="V11" s="4">
        <f t="shared" ref="V11:V72" si="7">SUM(S11:U11)</f>
        <v>8.3396791443850269</v>
      </c>
      <c r="W11" s="123">
        <f t="shared" si="0"/>
        <v>0</v>
      </c>
      <c r="X11" s="4">
        <f t="shared" ref="X11:X72" si="8">V11-W11</f>
        <v>8.3396791443850269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8.3396791443850269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11</v>
      </c>
      <c r="L12" s="27">
        <f>(D12+E12+F12+G12+H12+I12+J12+K12)/3</f>
        <v>7.666666666666667</v>
      </c>
      <c r="M12" s="27">
        <f t="shared" si="1"/>
        <v>15.333333333333334</v>
      </c>
      <c r="N12" s="32">
        <f t="shared" si="2"/>
        <v>23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3112</v>
      </c>
      <c r="P12" s="11">
        <f>D12*I12*KKslave+D12*GEslave*K12+MUslave*I12*K12</f>
        <v>2018</v>
      </c>
      <c r="Q12" s="22">
        <f t="shared" si="3"/>
        <v>385</v>
      </c>
      <c r="R12" s="20">
        <f t="shared" ref="R12:R22" si="10">SUM(O12:Q12)</f>
        <v>5515</v>
      </c>
      <c r="S12" s="33">
        <f t="shared" si="4"/>
        <v>4.3261408280447267</v>
      </c>
      <c r="T12" s="26">
        <f t="shared" si="5"/>
        <v>5.6106376548806285</v>
      </c>
      <c r="U12" s="34">
        <f t="shared" si="6"/>
        <v>1.6056210335448775</v>
      </c>
      <c r="V12" s="4">
        <f t="shared" si="7"/>
        <v>11.542399516470233</v>
      </c>
      <c r="W12" s="123">
        <f t="shared" si="0"/>
        <v>0</v>
      </c>
      <c r="X12" s="4">
        <f t="shared" si="8"/>
        <v>11.542399516470233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23.084799032940467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5</v>
      </c>
      <c r="K13" s="22"/>
      <c r="L13" s="27">
        <f>(I13+I13+J13)/3</f>
        <v>6.333333333333333</v>
      </c>
      <c r="M13" s="27">
        <f t="shared" si="1"/>
        <v>12.666666666666666</v>
      </c>
      <c r="N13" s="32">
        <f t="shared" si="2"/>
        <v>19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3072</v>
      </c>
      <c r="P13" s="11">
        <f>I13*I13*KOslave+I13*GEslave*J13+GEslave*I13*J13</f>
        <v>1526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245</v>
      </c>
      <c r="R13" s="20">
        <f t="shared" si="10"/>
        <v>4843</v>
      </c>
      <c r="S13" s="33">
        <f t="shared" si="4"/>
        <v>4.0173446211026222</v>
      </c>
      <c r="T13" s="26">
        <f t="shared" si="5"/>
        <v>3.9911900337256521</v>
      </c>
      <c r="U13" s="34">
        <f t="shared" si="6"/>
        <v>0.96118108610365471</v>
      </c>
      <c r="V13" s="4">
        <f t="shared" si="7"/>
        <v>8.9697157409319281</v>
      </c>
      <c r="W13" s="123">
        <f t="shared" si="0"/>
        <v>0</v>
      </c>
      <c r="X13" s="4">
        <f t="shared" si="8"/>
        <v>8.9697157409319281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35.878862963727713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5</v>
      </c>
      <c r="K14" s="22">
        <f>Konvention_1slave-KKslave</f>
        <v>11</v>
      </c>
      <c r="L14" s="27">
        <f>(J14+K14+K14)/3</f>
        <v>9</v>
      </c>
      <c r="M14" s="27">
        <f t="shared" si="1"/>
        <v>18</v>
      </c>
      <c r="N14" s="32">
        <f t="shared" si="2"/>
        <v>27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2784</v>
      </c>
      <c r="P14" s="11">
        <f>J14*K14*KKslave+J14*KKslave*K14+KOslave*K14*K14</f>
        <v>2574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605</v>
      </c>
      <c r="R14" s="20">
        <f t="shared" si="10"/>
        <v>5963</v>
      </c>
      <c r="S14" s="33">
        <f t="shared" si="4"/>
        <v>4.2019117893677675</v>
      </c>
      <c r="T14" s="26">
        <f t="shared" si="5"/>
        <v>7.7699144725809157</v>
      </c>
      <c r="U14" s="34">
        <f t="shared" si="6"/>
        <v>2.7393929230253229</v>
      </c>
      <c r="V14" s="4">
        <f t="shared" si="7"/>
        <v>14.711219184974006</v>
      </c>
      <c r="W14" s="123">
        <f t="shared" si="0"/>
        <v>0</v>
      </c>
      <c r="X14" s="4">
        <f t="shared" si="8"/>
        <v>14.711219184974006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39.689753479792046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7</v>
      </c>
      <c r="J15" s="21"/>
      <c r="K15" s="22">
        <f>Konvention_1slave-KKslave</f>
        <v>11</v>
      </c>
      <c r="L15" s="27">
        <f>(D15+E15+F15+G15+H15+I15+J15+K15)/3</f>
        <v>8.3333333333333339</v>
      </c>
      <c r="M15" s="27">
        <f t="shared" si="1"/>
        <v>16.666666666666668</v>
      </c>
      <c r="N15" s="32">
        <f t="shared" si="2"/>
        <v>25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2928</v>
      </c>
      <c r="P15" s="11">
        <f>G15*I15*KKslave+G15*GEslave*K15+CHslave*I15*K15</f>
        <v>2240</v>
      </c>
      <c r="Q15" s="22">
        <f t="shared" si="3"/>
        <v>539</v>
      </c>
      <c r="R15" s="20">
        <f t="shared" si="10"/>
        <v>5707</v>
      </c>
      <c r="S15" s="33">
        <f t="shared" si="4"/>
        <v>4.2754512002803571</v>
      </c>
      <c r="T15" s="26">
        <f t="shared" si="5"/>
        <v>6.541673967642077</v>
      </c>
      <c r="U15" s="34">
        <f t="shared" si="6"/>
        <v>2.361135447695812</v>
      </c>
      <c r="V15" s="4">
        <f t="shared" si="7"/>
        <v>13.178260615618246</v>
      </c>
      <c r="W15" s="123">
        <f t="shared" si="0"/>
        <v>0</v>
      </c>
      <c r="X15" s="4">
        <f t="shared" si="8"/>
        <v>13.178260615618246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29.069563693709476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5</v>
      </c>
      <c r="K16" s="22">
        <f>Konvention_1slave-KKslave</f>
        <v>11</v>
      </c>
      <c r="L16" s="27">
        <f>(D16+E16+F16+G16+H16+I16+J16+K16)/3</f>
        <v>7.666666666666667</v>
      </c>
      <c r="M16" s="27">
        <f t="shared" si="1"/>
        <v>15.333333333333334</v>
      </c>
      <c r="N16" s="32">
        <f t="shared" si="2"/>
        <v>23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3112</v>
      </c>
      <c r="P16" s="11">
        <f>I16*J16*KKslave+I16*KOslave*K16+GEslave*J16*K16</f>
        <v>2018</v>
      </c>
      <c r="Q16" s="22">
        <f t="shared" si="3"/>
        <v>385</v>
      </c>
      <c r="R16" s="20">
        <f t="shared" si="10"/>
        <v>5515</v>
      </c>
      <c r="S16" s="33">
        <f t="shared" si="4"/>
        <v>4.3261408280447267</v>
      </c>
      <c r="T16" s="26">
        <f t="shared" si="5"/>
        <v>5.6106376548806285</v>
      </c>
      <c r="U16" s="34">
        <f t="shared" si="6"/>
        <v>1.6056210335448775</v>
      </c>
      <c r="V16" s="4">
        <f t="shared" si="7"/>
        <v>11.542399516470233</v>
      </c>
      <c r="W16" s="123">
        <f t="shared" si="0"/>
        <v>0</v>
      </c>
      <c r="X16" s="4">
        <f t="shared" si="8"/>
        <v>11.542399516470233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23.084799032940467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5</v>
      </c>
      <c r="K17" s="22"/>
      <c r="L17" s="27">
        <f>(D17+D17+J17)/3</f>
        <v>5</v>
      </c>
      <c r="M17" s="27">
        <f t="shared" si="1"/>
        <v>10</v>
      </c>
      <c r="N17" s="32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20">
        <f t="shared" si="10"/>
        <v>4115</v>
      </c>
      <c r="S17" s="33">
        <f t="shared" si="4"/>
        <v>3.5722964763061968</v>
      </c>
      <c r="T17" s="26">
        <f t="shared" si="5"/>
        <v>2.5516403402187122</v>
      </c>
      <c r="U17" s="34">
        <f t="shared" si="6"/>
        <v>0.45565006075334141</v>
      </c>
      <c r="V17" s="4">
        <f t="shared" si="7"/>
        <v>6.57958687727825</v>
      </c>
      <c r="W17" s="123">
        <f t="shared" si="0"/>
        <v>0</v>
      </c>
      <c r="X17" s="4">
        <f t="shared" si="8"/>
        <v>6.57958687727825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26.318347509113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7</v>
      </c>
      <c r="H18" s="21"/>
      <c r="I18" s="21"/>
      <c r="J18" s="21">
        <f>Konvention_1slave-KOslave</f>
        <v>5</v>
      </c>
      <c r="K18" s="22"/>
      <c r="L18" s="27">
        <f>(D18+E18+F18+G18+H18+I18+J18+K18)/3</f>
        <v>5.666666666666667</v>
      </c>
      <c r="M18" s="27">
        <f t="shared" si="1"/>
        <v>11.333333333333334</v>
      </c>
      <c r="N18" s="32">
        <f t="shared" si="2"/>
        <v>17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3052</v>
      </c>
      <c r="P18" s="11">
        <f>E18*G18*KOslave+E18*CHslave*J18+KLslave*G18*J18</f>
        <v>1280</v>
      </c>
      <c r="Q18" s="22">
        <f t="shared" si="3"/>
        <v>175</v>
      </c>
      <c r="R18" s="20">
        <f t="shared" si="10"/>
        <v>4507</v>
      </c>
      <c r="S18" s="33">
        <f t="shared" si="4"/>
        <v>3.8372901412617413</v>
      </c>
      <c r="T18" s="26">
        <f t="shared" si="5"/>
        <v>3.2186968419495603</v>
      </c>
      <c r="U18" s="34">
        <f t="shared" si="6"/>
        <v>0.66008431329043715</v>
      </c>
      <c r="V18" s="4">
        <f t="shared" si="7"/>
        <v>7.7160712965017391</v>
      </c>
      <c r="W18" s="123">
        <f t="shared" si="0"/>
        <v>0</v>
      </c>
      <c r="X18" s="4">
        <f t="shared" si="8"/>
        <v>7.7160712965017391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7.7160712965017391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1"/>
        <v>10</v>
      </c>
      <c r="N19" s="32">
        <f t="shared" si="2"/>
        <v>15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2940</v>
      </c>
      <c r="P19" s="11">
        <f>E19*F19*INslave+E19*INslave*F19+KLslave*F19*F19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10"/>
        <v>4115</v>
      </c>
      <c r="S19" s="33">
        <f t="shared" si="4"/>
        <v>3.5722964763061968</v>
      </c>
      <c r="T19" s="26">
        <f t="shared" si="5"/>
        <v>2.5516403402187122</v>
      </c>
      <c r="U19" s="34">
        <f t="shared" si="6"/>
        <v>0.45565006075334141</v>
      </c>
      <c r="V19" s="4">
        <f t="shared" si="7"/>
        <v>6.57958687727825</v>
      </c>
      <c r="W19" s="123">
        <f t="shared" si="0"/>
        <v>0</v>
      </c>
      <c r="X19" s="4">
        <f t="shared" si="8"/>
        <v>6.57958687727825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7</v>
      </c>
      <c r="H20" s="21"/>
      <c r="I20" s="21">
        <f>Konvention_1slave-GEslave</f>
        <v>7</v>
      </c>
      <c r="J20" s="21"/>
      <c r="K20" s="22"/>
      <c r="L20" s="27">
        <f>(D20+E20+F20+G20+H20+I20+J20+K20)/3</f>
        <v>6.333333333333333</v>
      </c>
      <c r="M20" s="27">
        <f t="shared" si="1"/>
        <v>12.666666666666666</v>
      </c>
      <c r="N20" s="32">
        <f t="shared" si="2"/>
        <v>19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3072</v>
      </c>
      <c r="P20" s="11">
        <f>E20*G20*GEslave+E20*CHslave*I20+KLslave*G20*I20</f>
        <v>1526</v>
      </c>
      <c r="Q20" s="22">
        <f t="shared" si="3"/>
        <v>245</v>
      </c>
      <c r="R20" s="20">
        <f t="shared" si="10"/>
        <v>4843</v>
      </c>
      <c r="S20" s="33">
        <f t="shared" si="4"/>
        <v>4.0173446211026222</v>
      </c>
      <c r="T20" s="26">
        <f t="shared" si="5"/>
        <v>3.9911900337256521</v>
      </c>
      <c r="U20" s="34">
        <f t="shared" si="6"/>
        <v>0.96118108610365471</v>
      </c>
      <c r="V20" s="4">
        <f t="shared" si="7"/>
        <v>8.9697157409319281</v>
      </c>
      <c r="W20" s="123">
        <f t="shared" si="0"/>
        <v>0</v>
      </c>
      <c r="X20" s="4">
        <f t="shared" si="8"/>
        <v>8.9697157409319281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8.9697157409319281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6</v>
      </c>
      <c r="I21" s="21">
        <f>Konvention_1slave-GEslave</f>
        <v>7</v>
      </c>
      <c r="J21" s="21"/>
      <c r="K21" s="22"/>
      <c r="L21" s="27">
        <f>(D21+E21+F21+G21+H21+I21+J21+K21)/3</f>
        <v>6</v>
      </c>
      <c r="M21" s="27">
        <f t="shared" si="1"/>
        <v>12</v>
      </c>
      <c r="N21" s="32">
        <f t="shared" si="2"/>
        <v>18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3062</v>
      </c>
      <c r="P21" s="11">
        <f>D21*H21*GEslave+D21*FFslave*I21+MUslave*H21*I21</f>
        <v>1403</v>
      </c>
      <c r="Q21" s="22">
        <f t="shared" si="3"/>
        <v>210</v>
      </c>
      <c r="R21" s="20">
        <f t="shared" si="10"/>
        <v>4675</v>
      </c>
      <c r="S21" s="33">
        <f t="shared" si="4"/>
        <v>3.9298395721925132</v>
      </c>
      <c r="T21" s="26">
        <f t="shared" si="5"/>
        <v>3.6012834224598929</v>
      </c>
      <c r="U21" s="34">
        <f t="shared" si="6"/>
        <v>0.80855614973262036</v>
      </c>
      <c r="V21" s="4">
        <f t="shared" si="7"/>
        <v>8.3396791443850269</v>
      </c>
      <c r="W21" s="123">
        <f t="shared" si="0"/>
        <v>0</v>
      </c>
      <c r="X21" s="4">
        <f t="shared" si="8"/>
        <v>8.3396791443850269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16.679358288770054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5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5.666666666666667</v>
      </c>
      <c r="M22" s="27">
        <f t="shared" si="1"/>
        <v>11.333333333333334</v>
      </c>
      <c r="N22" s="32">
        <f t="shared" si="2"/>
        <v>17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3052</v>
      </c>
      <c r="P22" s="11">
        <f>D22*F22*GEslave+D22*INslave*I22+MUslave*F22*I22</f>
        <v>1280</v>
      </c>
      <c r="Q22" s="22">
        <f t="shared" si="3"/>
        <v>175</v>
      </c>
      <c r="R22" s="20">
        <f t="shared" si="10"/>
        <v>4507</v>
      </c>
      <c r="S22" s="33">
        <f t="shared" si="4"/>
        <v>3.8372901412617413</v>
      </c>
      <c r="T22" s="26">
        <f t="shared" si="5"/>
        <v>3.2186968419495603</v>
      </c>
      <c r="U22" s="34">
        <f t="shared" si="6"/>
        <v>0.66008431329043715</v>
      </c>
      <c r="V22" s="4">
        <f t="shared" si="7"/>
        <v>7.7160712965017391</v>
      </c>
      <c r="W22" s="123">
        <f t="shared" si="0"/>
        <v>0</v>
      </c>
      <c r="X22" s="4">
        <f t="shared" si="8"/>
        <v>7.7160712965017391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23.148213889505218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5</v>
      </c>
      <c r="K23" s="23">
        <f>Konvention_1slave-KKslave</f>
        <v>11</v>
      </c>
      <c r="L23" s="25">
        <f>(D23+E23+F23+G23+H23+I23+J23+K23)/3</f>
        <v>7</v>
      </c>
      <c r="M23" s="25">
        <f t="shared" si="1"/>
        <v>14</v>
      </c>
      <c r="N23" s="36">
        <f t="shared" si="2"/>
        <v>21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3276</v>
      </c>
      <c r="P23" s="19">
        <f>E23*J23*KKslave+E23*KOslave*K23+KLslave*J23*K23</f>
        <v>1740</v>
      </c>
      <c r="Q23" s="23">
        <f t="shared" si="3"/>
        <v>275</v>
      </c>
      <c r="R23" s="24">
        <f>SUM(O23:Q23)</f>
        <v>5291</v>
      </c>
      <c r="S23" s="37">
        <f t="shared" si="4"/>
        <v>4.3341523341523338</v>
      </c>
      <c r="T23" s="25">
        <f t="shared" si="5"/>
        <v>4.6040446040446037</v>
      </c>
      <c r="U23" s="38">
        <f t="shared" si="6"/>
        <v>1.0914760914760915</v>
      </c>
      <c r="V23" s="5">
        <f t="shared" si="7"/>
        <v>10.029673029673029</v>
      </c>
      <c r="W23" s="123">
        <f t="shared" si="0"/>
        <v>0</v>
      </c>
      <c r="X23" s="5">
        <f t="shared" si="8"/>
        <v>10.029673029673029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10.029673029673029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5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5.666666666666667</v>
      </c>
      <c r="M25" s="27">
        <f t="shared" si="1"/>
        <v>11.333333333333334</v>
      </c>
      <c r="N25" s="28">
        <f t="shared" si="2"/>
        <v>17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3052</v>
      </c>
      <c r="P25" s="11">
        <f>D25*E25*CHslave+D25*KLslave*G25+MUslave*E25*G25</f>
        <v>1280</v>
      </c>
      <c r="Q25" s="62">
        <f t="shared" si="3"/>
        <v>175</v>
      </c>
      <c r="R25" s="60">
        <f>SUM(O25:Q25)</f>
        <v>4507</v>
      </c>
      <c r="S25" s="29">
        <f t="shared" si="4"/>
        <v>3.8372901412617413</v>
      </c>
      <c r="T25" s="30">
        <f t="shared" si="5"/>
        <v>3.2186968419495603</v>
      </c>
      <c r="U25" s="31">
        <f t="shared" si="6"/>
        <v>0.66008431329043715</v>
      </c>
      <c r="V25" s="12">
        <f t="shared" si="7"/>
        <v>7.7160712965017391</v>
      </c>
      <c r="W25" s="123">
        <f t="shared" ref="W25:W33" si="12">Istwerte</f>
        <v>0</v>
      </c>
      <c r="X25" s="3">
        <f t="shared" si="8"/>
        <v>7.7160712965017391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15.432142593003478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1"/>
        <v>12.666666666666666</v>
      </c>
      <c r="N26" s="32">
        <f t="shared" si="2"/>
        <v>19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3072</v>
      </c>
      <c r="P26" s="11">
        <f>D26*G26*CHslave+D26*CHslave*G26+MUslave*G26*G26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3">SUM(O26:Q26)</f>
        <v>4843</v>
      </c>
      <c r="S26" s="33">
        <f t="shared" si="4"/>
        <v>4.0173446211026222</v>
      </c>
      <c r="T26" s="26">
        <f t="shared" si="5"/>
        <v>3.9911900337256521</v>
      </c>
      <c r="U26" s="34">
        <f t="shared" si="6"/>
        <v>0.96118108610365471</v>
      </c>
      <c r="V26" s="13">
        <f t="shared" si="7"/>
        <v>8.9697157409319281</v>
      </c>
      <c r="W26" s="123">
        <f t="shared" si="12"/>
        <v>0</v>
      </c>
      <c r="X26" s="4">
        <f t="shared" si="8"/>
        <v>8.9697157409319281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5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5.666666666666667</v>
      </c>
      <c r="M27" s="27">
        <f t="shared" si="1"/>
        <v>11.333333333333334</v>
      </c>
      <c r="N27" s="32">
        <f t="shared" si="2"/>
        <v>17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3052</v>
      </c>
      <c r="P27" s="11">
        <f>D27*F27*CHslave+D27*INslave*G27+MUslave*F27*G27</f>
        <v>1280</v>
      </c>
      <c r="Q27" s="22">
        <f t="shared" si="3"/>
        <v>175</v>
      </c>
      <c r="R27" s="20">
        <f t="shared" si="13"/>
        <v>4507</v>
      </c>
      <c r="S27" s="33">
        <f t="shared" si="4"/>
        <v>3.8372901412617413</v>
      </c>
      <c r="T27" s="26">
        <f t="shared" si="5"/>
        <v>3.2186968419495603</v>
      </c>
      <c r="U27" s="34">
        <f t="shared" si="6"/>
        <v>0.66008431329043715</v>
      </c>
      <c r="V27" s="13">
        <f t="shared" si="7"/>
        <v>7.7160712965017391</v>
      </c>
      <c r="W27" s="123">
        <f t="shared" si="12"/>
        <v>0</v>
      </c>
      <c r="X27" s="4">
        <f t="shared" si="8"/>
        <v>7.7160712965017391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15.432142593003478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5</v>
      </c>
      <c r="G28" s="21">
        <f t="shared" si="11"/>
        <v>7</v>
      </c>
      <c r="H28" s="21"/>
      <c r="I28" s="21"/>
      <c r="J28" s="21"/>
      <c r="K28" s="22"/>
      <c r="L28" s="27">
        <f t="shared" si="15"/>
        <v>5.666666666666667</v>
      </c>
      <c r="M28" s="27">
        <f t="shared" si="1"/>
        <v>11.333333333333334</v>
      </c>
      <c r="N28" s="32">
        <f t="shared" si="2"/>
        <v>17</v>
      </c>
      <c r="O28" s="11">
        <f t="shared" si="16"/>
        <v>3052</v>
      </c>
      <c r="P28" s="11">
        <f>E28*F28*CHslave+E28*INslave*G28+KLslave*F28*G28</f>
        <v>1280</v>
      </c>
      <c r="Q28" s="22">
        <f t="shared" si="3"/>
        <v>175</v>
      </c>
      <c r="R28" s="20">
        <f t="shared" si="13"/>
        <v>4507</v>
      </c>
      <c r="S28" s="33">
        <f t="shared" si="4"/>
        <v>3.8372901412617413</v>
      </c>
      <c r="T28" s="26">
        <f t="shared" si="5"/>
        <v>3.2186968419495603</v>
      </c>
      <c r="U28" s="34">
        <f t="shared" si="6"/>
        <v>0.66008431329043715</v>
      </c>
      <c r="V28" s="13">
        <f t="shared" si="7"/>
        <v>7.7160712965017391</v>
      </c>
      <c r="W28" s="123">
        <f t="shared" si="12"/>
        <v>0</v>
      </c>
      <c r="X28" s="4">
        <f t="shared" si="8"/>
        <v>7.7160712965017391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15.432142593003478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5</v>
      </c>
      <c r="G29" s="21">
        <f t="shared" si="11"/>
        <v>7</v>
      </c>
      <c r="H29" s="21"/>
      <c r="I29" s="21"/>
      <c r="J29" s="21"/>
      <c r="K29" s="22"/>
      <c r="L29" s="27">
        <f t="shared" si="15"/>
        <v>5.666666666666667</v>
      </c>
      <c r="M29" s="27">
        <f t="shared" si="1"/>
        <v>11.333333333333334</v>
      </c>
      <c r="N29" s="32">
        <f t="shared" si="2"/>
        <v>17</v>
      </c>
      <c r="O29" s="11">
        <f t="shared" si="16"/>
        <v>3052</v>
      </c>
      <c r="P29" s="11">
        <f>E29*F29*CHslave+E29*INslave*G29+KLslave*F29*G29</f>
        <v>1280</v>
      </c>
      <c r="Q29" s="22">
        <f t="shared" si="3"/>
        <v>175</v>
      </c>
      <c r="R29" s="20">
        <f t="shared" si="13"/>
        <v>4507</v>
      </c>
      <c r="S29" s="33">
        <f t="shared" si="4"/>
        <v>3.8372901412617413</v>
      </c>
      <c r="T29" s="26">
        <f t="shared" si="5"/>
        <v>3.2186968419495603</v>
      </c>
      <c r="U29" s="34">
        <f t="shared" si="6"/>
        <v>0.66008431329043715</v>
      </c>
      <c r="V29" s="13">
        <f t="shared" si="7"/>
        <v>7.7160712965017391</v>
      </c>
      <c r="W29" s="123">
        <f t="shared" si="12"/>
        <v>0</v>
      </c>
      <c r="X29" s="4">
        <f t="shared" si="8"/>
        <v>7.7160712965017391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23.148213889505218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5</v>
      </c>
      <c r="G30" s="21">
        <f t="shared" si="11"/>
        <v>7</v>
      </c>
      <c r="H30" s="21"/>
      <c r="I30" s="21"/>
      <c r="J30" s="21"/>
      <c r="K30" s="22"/>
      <c r="L30" s="27">
        <f t="shared" si="15"/>
        <v>5.666666666666667</v>
      </c>
      <c r="M30" s="27">
        <f t="shared" si="1"/>
        <v>11.333333333333334</v>
      </c>
      <c r="N30" s="32">
        <f t="shared" si="2"/>
        <v>17</v>
      </c>
      <c r="O30" s="11">
        <f t="shared" si="16"/>
        <v>3052</v>
      </c>
      <c r="P30" s="11">
        <f>E30*F30*CHslave+E30*INslave*G30+KLslave*F30*G30</f>
        <v>1280</v>
      </c>
      <c r="Q30" s="22">
        <f t="shared" si="3"/>
        <v>175</v>
      </c>
      <c r="R30" s="20">
        <f t="shared" si="13"/>
        <v>4507</v>
      </c>
      <c r="S30" s="33">
        <f t="shared" si="4"/>
        <v>3.8372901412617413</v>
      </c>
      <c r="T30" s="26">
        <f t="shared" si="5"/>
        <v>3.2186968419495603</v>
      </c>
      <c r="U30" s="34">
        <f t="shared" si="6"/>
        <v>0.66008431329043715</v>
      </c>
      <c r="V30" s="13">
        <f t="shared" si="7"/>
        <v>7.7160712965017391</v>
      </c>
      <c r="W30" s="123">
        <f t="shared" si="12"/>
        <v>0</v>
      </c>
      <c r="X30" s="4">
        <f t="shared" si="8"/>
        <v>7.7160712965017391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23.148213889505218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5</v>
      </c>
      <c r="G31" s="21">
        <f t="shared" si="11"/>
        <v>7</v>
      </c>
      <c r="H31" s="21"/>
      <c r="I31" s="21"/>
      <c r="J31" s="21"/>
      <c r="K31" s="22"/>
      <c r="L31" s="27">
        <f t="shared" si="15"/>
        <v>5.666666666666667</v>
      </c>
      <c r="M31" s="27">
        <f t="shared" si="1"/>
        <v>11.333333333333334</v>
      </c>
      <c r="N31" s="32">
        <f t="shared" si="2"/>
        <v>17</v>
      </c>
      <c r="O31" s="11">
        <f t="shared" si="16"/>
        <v>3052</v>
      </c>
      <c r="P31" s="11">
        <f>D31*F31*CHslave+D31*INslave*G31+MUslave*F31*G31</f>
        <v>1280</v>
      </c>
      <c r="Q31" s="22">
        <f t="shared" si="3"/>
        <v>175</v>
      </c>
      <c r="R31" s="20">
        <f t="shared" si="13"/>
        <v>4507</v>
      </c>
      <c r="S31" s="33">
        <f t="shared" si="4"/>
        <v>3.8372901412617413</v>
      </c>
      <c r="T31" s="26">
        <f t="shared" si="5"/>
        <v>3.2186968419495603</v>
      </c>
      <c r="U31" s="34">
        <f t="shared" si="6"/>
        <v>0.66008431329043715</v>
      </c>
      <c r="V31" s="13">
        <f t="shared" si="7"/>
        <v>7.7160712965017391</v>
      </c>
      <c r="W31" s="123">
        <f t="shared" si="12"/>
        <v>0</v>
      </c>
      <c r="X31" s="4">
        <f t="shared" si="8"/>
        <v>7.7160712965017391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23.148213889505218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7</v>
      </c>
      <c r="H32" s="21"/>
      <c r="I32" s="21">
        <f>Konvention_1slave-GEslave</f>
        <v>7</v>
      </c>
      <c r="J32" s="21"/>
      <c r="K32" s="22"/>
      <c r="L32" s="27">
        <f t="shared" si="15"/>
        <v>6.333333333333333</v>
      </c>
      <c r="M32" s="27">
        <f t="shared" si="1"/>
        <v>12.666666666666666</v>
      </c>
      <c r="N32" s="32">
        <f t="shared" si="2"/>
        <v>19</v>
      </c>
      <c r="O32" s="11">
        <f t="shared" si="16"/>
        <v>3072</v>
      </c>
      <c r="P32" s="11">
        <f>F32*G32*GEslave+F32*CHslave*I32+INslave*G32*I32</f>
        <v>1526</v>
      </c>
      <c r="Q32" s="22">
        <f t="shared" si="3"/>
        <v>245</v>
      </c>
      <c r="R32" s="20">
        <f t="shared" si="13"/>
        <v>4843</v>
      </c>
      <c r="S32" s="33">
        <f t="shared" si="4"/>
        <v>4.0173446211026222</v>
      </c>
      <c r="T32" s="26">
        <f t="shared" si="5"/>
        <v>3.9911900337256521</v>
      </c>
      <c r="U32" s="34">
        <f t="shared" si="6"/>
        <v>0.96118108610365471</v>
      </c>
      <c r="V32" s="13">
        <f t="shared" si="7"/>
        <v>8.9697157409319281</v>
      </c>
      <c r="W32" s="123">
        <f t="shared" si="12"/>
        <v>0</v>
      </c>
      <c r="X32" s="4">
        <f t="shared" si="8"/>
        <v>8.9697157409319281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17.939431481863856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5</v>
      </c>
      <c r="G33" s="19">
        <f t="shared" si="11"/>
        <v>7</v>
      </c>
      <c r="H33" s="19"/>
      <c r="I33" s="19"/>
      <c r="J33" s="19"/>
      <c r="K33" s="23"/>
      <c r="L33" s="37">
        <f t="shared" si="15"/>
        <v>5.666666666666667</v>
      </c>
      <c r="M33" s="25">
        <f t="shared" si="1"/>
        <v>11.333333333333334</v>
      </c>
      <c r="N33" s="36">
        <f t="shared" si="2"/>
        <v>17</v>
      </c>
      <c r="O33" s="19">
        <f t="shared" si="16"/>
        <v>3052</v>
      </c>
      <c r="P33" s="19">
        <f>D33*F33*CHslave+D33*INslave*G33+MUslave*F33*G33</f>
        <v>1280</v>
      </c>
      <c r="Q33" s="23">
        <f t="shared" si="3"/>
        <v>175</v>
      </c>
      <c r="R33" s="24">
        <f>SUM(O33:Q33)</f>
        <v>4507</v>
      </c>
      <c r="S33" s="37">
        <f t="shared" si="4"/>
        <v>3.8372901412617413</v>
      </c>
      <c r="T33" s="25">
        <f t="shared" si="5"/>
        <v>3.2186968419495603</v>
      </c>
      <c r="U33" s="38">
        <f t="shared" si="6"/>
        <v>0.66008431329043715</v>
      </c>
      <c r="V33" s="14">
        <f t="shared" si="7"/>
        <v>7.7160712965017391</v>
      </c>
      <c r="W33" s="123">
        <f t="shared" si="12"/>
        <v>0</v>
      </c>
      <c r="X33" s="5">
        <f t="shared" si="8"/>
        <v>7.7160712965017391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30.864285186006956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5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5.666666666666667</v>
      </c>
      <c r="M35" s="27">
        <f t="shared" si="1"/>
        <v>11.333333333333334</v>
      </c>
      <c r="N35" s="28">
        <f t="shared" si="2"/>
        <v>17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3052</v>
      </c>
      <c r="P35" s="11">
        <f>D35*F35*GEslave+D35*INslave*I35+MUslave*F35*I35</f>
        <v>1280</v>
      </c>
      <c r="Q35" s="62">
        <f t="shared" si="3"/>
        <v>175</v>
      </c>
      <c r="R35" s="60">
        <f t="shared" ref="R35:R41" si="17">SUM(O35:Q35)</f>
        <v>4507</v>
      </c>
      <c r="S35" s="29">
        <f t="shared" si="4"/>
        <v>3.8372901412617413</v>
      </c>
      <c r="T35" s="30">
        <f t="shared" si="5"/>
        <v>3.2186968419495603</v>
      </c>
      <c r="U35" s="31">
        <f t="shared" si="6"/>
        <v>0.66008431329043715</v>
      </c>
      <c r="V35" s="12">
        <f t="shared" si="7"/>
        <v>7.7160712965017391</v>
      </c>
      <c r="W35" s="123">
        <f t="shared" ref="W35:W41" si="18">Istwerte</f>
        <v>0</v>
      </c>
      <c r="X35" s="3">
        <f t="shared" si="8"/>
        <v>7.7160712965017391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23.148213889505218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11</v>
      </c>
      <c r="L36" s="27">
        <f>(D36+E36+F36+G36+H36+I36+J36+K36)/3</f>
        <v>7.333333333333333</v>
      </c>
      <c r="M36" s="27">
        <f t="shared" si="1"/>
        <v>14.666666666666666</v>
      </c>
      <c r="N36" s="32">
        <f t="shared" si="2"/>
        <v>22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3194</v>
      </c>
      <c r="P36" s="11">
        <f>E36*H36*KKslave+E36*FFslave*K36+KLslave*H36*K36</f>
        <v>1879</v>
      </c>
      <c r="Q36" s="22">
        <f t="shared" si="3"/>
        <v>330</v>
      </c>
      <c r="R36" s="20">
        <f t="shared" si="17"/>
        <v>5403</v>
      </c>
      <c r="S36" s="33">
        <f t="shared" si="4"/>
        <v>4.3351224628292915</v>
      </c>
      <c r="T36" s="26">
        <f t="shared" si="5"/>
        <v>5.1006231106175575</v>
      </c>
      <c r="U36" s="34">
        <f t="shared" si="6"/>
        <v>1.3436979455857856</v>
      </c>
      <c r="V36" s="13">
        <f t="shared" si="7"/>
        <v>10.779443519032634</v>
      </c>
      <c r="W36" s="123">
        <f t="shared" si="18"/>
        <v>0</v>
      </c>
      <c r="X36" s="4">
        <f t="shared" si="8"/>
        <v>10.779443519032634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10.779443519032634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7</v>
      </c>
      <c r="J37" s="21">
        <f>Konvention_1slave-KOslave</f>
        <v>5</v>
      </c>
      <c r="K37" s="22"/>
      <c r="L37" s="27">
        <f>(D37+E37+F37+G37+H37+I37+J37+K37)/3</f>
        <v>6</v>
      </c>
      <c r="M37" s="27">
        <f t="shared" si="1"/>
        <v>12</v>
      </c>
      <c r="N37" s="32">
        <f t="shared" si="2"/>
        <v>18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3062</v>
      </c>
      <c r="P37" s="11">
        <f>H37*I37*KOslave+H37*GEslave*J37+FFslave*I37*J37</f>
        <v>1403</v>
      </c>
      <c r="Q37" s="22">
        <f t="shared" si="3"/>
        <v>210</v>
      </c>
      <c r="R37" s="20">
        <f t="shared" si="17"/>
        <v>4675</v>
      </c>
      <c r="S37" s="33">
        <f t="shared" si="4"/>
        <v>3.9298395721925132</v>
      </c>
      <c r="T37" s="26">
        <f t="shared" si="5"/>
        <v>3.6012834224598929</v>
      </c>
      <c r="U37" s="34">
        <f t="shared" si="6"/>
        <v>0.80855614973262036</v>
      </c>
      <c r="V37" s="13">
        <f t="shared" si="7"/>
        <v>8.3396791443850269</v>
      </c>
      <c r="W37" s="123">
        <f t="shared" si="18"/>
        <v>0</v>
      </c>
      <c r="X37" s="4">
        <f t="shared" si="8"/>
        <v>8.3396791443850269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8.3396791443850269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1"/>
        <v>10</v>
      </c>
      <c r="N38" s="32">
        <f t="shared" si="2"/>
        <v>15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2940</v>
      </c>
      <c r="P38" s="11">
        <f>E38*F38*INslave+E38*INslave*F38+KLslave*F38*F38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7"/>
        <v>4115</v>
      </c>
      <c r="S38" s="33">
        <f t="shared" si="4"/>
        <v>3.5722964763061968</v>
      </c>
      <c r="T38" s="26">
        <f t="shared" si="5"/>
        <v>2.5516403402187122</v>
      </c>
      <c r="U38" s="34">
        <f t="shared" si="6"/>
        <v>0.45565006075334141</v>
      </c>
      <c r="V38" s="13">
        <f t="shared" si="7"/>
        <v>6.57958687727825</v>
      </c>
      <c r="W38" s="123">
        <f t="shared" si="18"/>
        <v>0</v>
      </c>
      <c r="X38" s="4">
        <f t="shared" si="8"/>
        <v>6.57958687727825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6</v>
      </c>
      <c r="I39" s="21"/>
      <c r="J39" s="21">
        <f>Konvention_1slave-KOslave</f>
        <v>5</v>
      </c>
      <c r="K39" s="22"/>
      <c r="L39" s="27">
        <f>(D39+E39+F39+G39+H39+I39+J39+K39)/3</f>
        <v>5.333333333333333</v>
      </c>
      <c r="M39" s="27">
        <f t="shared" si="1"/>
        <v>10.666666666666666</v>
      </c>
      <c r="N39" s="32">
        <f t="shared" si="2"/>
        <v>16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2996</v>
      </c>
      <c r="P39" s="11">
        <f>E39*H39*KOslave+E39*FFslave*J39+KLslave*H39*J39</f>
        <v>1165</v>
      </c>
      <c r="Q39" s="22">
        <f>IFERROR(D39^SIGN(D39),1)*IFERROR(E39^SIGN(E39),1)*IFERROR(F39^SIGN(F39),1)*IFERROR(G39^SIGN(G39),1)*IFERROR(H39^SIGN(H39),1)*IFERROR(I39^SIGN(I39),1)*IFERROR(J39^SIGN(J39),1)*IFERROR(K39^SIGN(K39),1)</f>
        <v>150</v>
      </c>
      <c r="R39" s="20">
        <f t="shared" si="17"/>
        <v>4311</v>
      </c>
      <c r="S39" s="33">
        <f t="shared" si="4"/>
        <v>3.7064872806000153</v>
      </c>
      <c r="T39" s="26">
        <f t="shared" si="5"/>
        <v>2.8825485192917344</v>
      </c>
      <c r="U39" s="34">
        <f t="shared" si="6"/>
        <v>0.55671537926235215</v>
      </c>
      <c r="V39" s="13">
        <f t="shared" si="7"/>
        <v>7.145751179154102</v>
      </c>
      <c r="W39" s="123">
        <f t="shared" si="18"/>
        <v>0</v>
      </c>
      <c r="X39" s="4">
        <f t="shared" si="8"/>
        <v>7.145751179154102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21.437253537462304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1"/>
        <v>11.333333333333334</v>
      </c>
      <c r="N40" s="32">
        <f t="shared" si="2"/>
        <v>17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3052</v>
      </c>
      <c r="P40" s="11">
        <f>D40*D40*CHslave+D40*MUslave*G40+MUslave*D40*G40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7"/>
        <v>4507</v>
      </c>
      <c r="S40" s="33">
        <f t="shared" si="4"/>
        <v>3.8372901412617413</v>
      </c>
      <c r="T40" s="26">
        <f t="shared" si="5"/>
        <v>3.2186968419495603</v>
      </c>
      <c r="U40" s="34">
        <f t="shared" si="6"/>
        <v>0.66008431329043715</v>
      </c>
      <c r="V40" s="13">
        <f t="shared" si="7"/>
        <v>7.7160712965017391</v>
      </c>
      <c r="W40" s="123">
        <f t="shared" si="18"/>
        <v>0</v>
      </c>
      <c r="X40" s="4">
        <f t="shared" si="8"/>
        <v>7.7160712965017391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5</v>
      </c>
      <c r="K41" s="23"/>
      <c r="L41" s="37">
        <f>(D41+E41+F41+G41+H41+I41+J41+K41)/3</f>
        <v>5.666666666666667</v>
      </c>
      <c r="M41" s="25">
        <f t="shared" si="1"/>
        <v>11.333333333333334</v>
      </c>
      <c r="N41" s="36">
        <f t="shared" si="2"/>
        <v>17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3052</v>
      </c>
      <c r="P41" s="19">
        <f>D41*I41*KOslave+D41*GEslave*J41+MUslave*I41*J41</f>
        <v>1280</v>
      </c>
      <c r="Q41" s="23">
        <f t="shared" si="3"/>
        <v>175</v>
      </c>
      <c r="R41" s="24">
        <f t="shared" si="17"/>
        <v>4507</v>
      </c>
      <c r="S41" s="37">
        <f t="shared" si="4"/>
        <v>3.8372901412617413</v>
      </c>
      <c r="T41" s="25">
        <f t="shared" si="5"/>
        <v>3.2186968419495603</v>
      </c>
      <c r="U41" s="38">
        <f t="shared" si="6"/>
        <v>0.66008431329043715</v>
      </c>
      <c r="V41" s="14">
        <f t="shared" si="7"/>
        <v>7.7160712965017391</v>
      </c>
      <c r="W41" s="123">
        <f t="shared" si="18"/>
        <v>0</v>
      </c>
      <c r="X41" s="5">
        <f t="shared" si="8"/>
        <v>7.7160712965017391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23.148213889505218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1"/>
        <v>10</v>
      </c>
      <c r="N43" s="28">
        <f t="shared" si="2"/>
        <v>15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2940</v>
      </c>
      <c r="P43" s="11">
        <f>E43*E43*INslave+E43*KLslave*F43+KLslave*E43*F43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4"/>
        <v>3.5722964763061968</v>
      </c>
      <c r="T43" s="30">
        <f t="shared" si="5"/>
        <v>2.5516403402187122</v>
      </c>
      <c r="U43" s="31">
        <f t="shared" si="6"/>
        <v>0.45565006075334141</v>
      </c>
      <c r="V43" s="12">
        <f t="shared" si="7"/>
        <v>6.57958687727825</v>
      </c>
      <c r="W43" s="123">
        <f t="shared" ref="W43:W54" si="21">Istwerte</f>
        <v>0</v>
      </c>
      <c r="X43" s="3">
        <f t="shared" si="8"/>
        <v>6.57958687727825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1"/>
        <v>10</v>
      </c>
      <c r="N44" s="32">
        <f t="shared" si="2"/>
        <v>15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2940</v>
      </c>
      <c r="P44" s="11">
        <f>E44*E44*INslave+E44*KLslave*F44+KLslave*E44*F44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22">SUM(O44:Q44)</f>
        <v>4115</v>
      </c>
      <c r="S44" s="33">
        <f t="shared" si="4"/>
        <v>3.5722964763061968</v>
      </c>
      <c r="T44" s="26">
        <f t="shared" si="5"/>
        <v>2.5516403402187122</v>
      </c>
      <c r="U44" s="34">
        <f t="shared" si="6"/>
        <v>0.45565006075334141</v>
      </c>
      <c r="V44" s="13">
        <f t="shared" si="7"/>
        <v>6.57958687727825</v>
      </c>
      <c r="W44" s="123">
        <f t="shared" si="21"/>
        <v>0</v>
      </c>
      <c r="X44" s="4">
        <f t="shared" si="8"/>
        <v>6.57958687727825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1"/>
        <v>10</v>
      </c>
      <c r="N45" s="32">
        <f t="shared" si="2"/>
        <v>15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2940</v>
      </c>
      <c r="P45" s="11">
        <f>E45*E45*INslave+E45*KLslave*F45+KLslave*E45*F45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22"/>
        <v>4115</v>
      </c>
      <c r="S45" s="33">
        <f t="shared" si="4"/>
        <v>3.5722964763061968</v>
      </c>
      <c r="T45" s="26">
        <f t="shared" si="5"/>
        <v>2.5516403402187122</v>
      </c>
      <c r="U45" s="34">
        <f t="shared" si="6"/>
        <v>0.45565006075334141</v>
      </c>
      <c r="V45" s="13">
        <f t="shared" si="7"/>
        <v>6.57958687727825</v>
      </c>
      <c r="W45" s="123">
        <f t="shared" si="21"/>
        <v>0</v>
      </c>
      <c r="X45" s="4">
        <f t="shared" si="8"/>
        <v>6.57958687727825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1"/>
        <v>10</v>
      </c>
      <c r="N46" s="32">
        <f t="shared" si="2"/>
        <v>15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2940</v>
      </c>
      <c r="P46" s="11">
        <f>E46*E46*INslave+E46*KLslave*F46+KLslave*E46*F46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22"/>
        <v>4115</v>
      </c>
      <c r="S46" s="33">
        <f t="shared" si="4"/>
        <v>3.5722964763061968</v>
      </c>
      <c r="T46" s="26">
        <f t="shared" si="5"/>
        <v>2.5516403402187122</v>
      </c>
      <c r="U46" s="34">
        <f t="shared" si="6"/>
        <v>0.45565006075334141</v>
      </c>
      <c r="V46" s="13">
        <f t="shared" si="7"/>
        <v>6.57958687727825</v>
      </c>
      <c r="W46" s="123">
        <f t="shared" si="21"/>
        <v>0</v>
      </c>
      <c r="X46" s="4">
        <f t="shared" si="8"/>
        <v>6.57958687727825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5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5</v>
      </c>
      <c r="M47" s="27">
        <f t="shared" si="1"/>
        <v>10</v>
      </c>
      <c r="N47" s="32">
        <f t="shared" si="2"/>
        <v>15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2940</v>
      </c>
      <c r="P47" s="11">
        <f>D47*E47*INslave+D47*KLslave*F47+MUslave*E47*F47</f>
        <v>1050</v>
      </c>
      <c r="Q47" s="22">
        <f t="shared" si="3"/>
        <v>125</v>
      </c>
      <c r="R47" s="20">
        <f t="shared" si="22"/>
        <v>4115</v>
      </c>
      <c r="S47" s="33">
        <f t="shared" si="4"/>
        <v>3.5722964763061968</v>
      </c>
      <c r="T47" s="26">
        <f t="shared" si="5"/>
        <v>2.5516403402187122</v>
      </c>
      <c r="U47" s="34">
        <f t="shared" si="6"/>
        <v>0.45565006075334141</v>
      </c>
      <c r="V47" s="13">
        <f t="shared" si="7"/>
        <v>6.57958687727825</v>
      </c>
      <c r="W47" s="123">
        <f t="shared" si="21"/>
        <v>0</v>
      </c>
      <c r="X47" s="4">
        <f t="shared" si="8"/>
        <v>6.57958687727825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13.1591737545565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1"/>
        <v>10</v>
      </c>
      <c r="N48" s="32">
        <f t="shared" si="2"/>
        <v>15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2940</v>
      </c>
      <c r="P48" s="11">
        <f>E48*E48*INslave+E48*KLslave*F48+KLslave*E48*F48</f>
        <v>1050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22"/>
        <v>4115</v>
      </c>
      <c r="S48" s="33">
        <f t="shared" si="4"/>
        <v>3.5722964763061968</v>
      </c>
      <c r="T48" s="26">
        <f t="shared" si="5"/>
        <v>2.5516403402187122</v>
      </c>
      <c r="U48" s="34">
        <f t="shared" si="6"/>
        <v>0.45565006075334141</v>
      </c>
      <c r="V48" s="13">
        <f t="shared" si="7"/>
        <v>6.57958687727825</v>
      </c>
      <c r="W48" s="123">
        <f t="shared" si="21"/>
        <v>0</v>
      </c>
      <c r="X48" s="4">
        <f t="shared" si="8"/>
        <v>6.57958687727825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5.333333333333333</v>
      </c>
      <c r="M49" s="27">
        <f t="shared" si="1"/>
        <v>10.666666666666666</v>
      </c>
      <c r="N49" s="32">
        <f t="shared" si="2"/>
        <v>16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2996</v>
      </c>
      <c r="P49" s="11">
        <f>E49*E49*FFslave+E49*KLslave*H49+KLslave*E49*H49</f>
        <v>1165</v>
      </c>
      <c r="Q49" s="22">
        <f t="shared" si="23"/>
        <v>150</v>
      </c>
      <c r="R49" s="20">
        <f t="shared" si="22"/>
        <v>4311</v>
      </c>
      <c r="S49" s="33">
        <f t="shared" si="4"/>
        <v>3.7064872806000153</v>
      </c>
      <c r="T49" s="26">
        <f t="shared" si="5"/>
        <v>2.8825485192917344</v>
      </c>
      <c r="U49" s="34">
        <f t="shared" si="6"/>
        <v>0.55671537926235215</v>
      </c>
      <c r="V49" s="13">
        <f t="shared" si="7"/>
        <v>7.145751179154102</v>
      </c>
      <c r="W49" s="123">
        <f t="shared" si="21"/>
        <v>0</v>
      </c>
      <c r="X49" s="4">
        <f t="shared" si="8"/>
        <v>7.145751179154102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1"/>
        <v>10</v>
      </c>
      <c r="N50" s="32">
        <f t="shared" si="2"/>
        <v>15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2940</v>
      </c>
      <c r="P50" s="11">
        <f>E50*E50*INslave+E50*KLslave*F50+KLslave*E50*F50</f>
        <v>1050</v>
      </c>
      <c r="Q50" s="22">
        <f t="shared" si="23"/>
        <v>125</v>
      </c>
      <c r="R50" s="20">
        <f t="shared" si="22"/>
        <v>4115</v>
      </c>
      <c r="S50" s="33">
        <f t="shared" si="4"/>
        <v>3.5722964763061968</v>
      </c>
      <c r="T50" s="26">
        <f t="shared" si="5"/>
        <v>2.5516403402187122</v>
      </c>
      <c r="U50" s="34">
        <f t="shared" si="6"/>
        <v>0.45565006075334141</v>
      </c>
      <c r="V50" s="13">
        <f t="shared" si="7"/>
        <v>6.57958687727825</v>
      </c>
      <c r="W50" s="123">
        <f t="shared" si="21"/>
        <v>0</v>
      </c>
      <c r="X50" s="4">
        <f t="shared" si="8"/>
        <v>6.57958687727825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1"/>
        <v>10</v>
      </c>
      <c r="N51" s="32">
        <f t="shared" si="2"/>
        <v>15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2940</v>
      </c>
      <c r="P51" s="11">
        <f>E51*E51*INslave+E51*KLslave*F51+KLslave*E51*F51</f>
        <v>1050</v>
      </c>
      <c r="Q51" s="22">
        <f t="shared" si="23"/>
        <v>125</v>
      </c>
      <c r="R51" s="20">
        <f t="shared" si="22"/>
        <v>4115</v>
      </c>
      <c r="S51" s="33">
        <f t="shared" si="4"/>
        <v>3.5722964763061968</v>
      </c>
      <c r="T51" s="26">
        <f t="shared" si="5"/>
        <v>2.5516403402187122</v>
      </c>
      <c r="U51" s="34">
        <f t="shared" si="6"/>
        <v>0.45565006075334141</v>
      </c>
      <c r="V51" s="13">
        <f t="shared" si="7"/>
        <v>6.57958687727825</v>
      </c>
      <c r="W51" s="123">
        <f t="shared" si="21"/>
        <v>0</v>
      </c>
      <c r="X51" s="4">
        <f t="shared" si="8"/>
        <v>6.57958687727825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1"/>
        <v>10</v>
      </c>
      <c r="N52" s="32">
        <f t="shared" si="2"/>
        <v>15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2940</v>
      </c>
      <c r="P52" s="11">
        <f>E52*E52*INslave+E52*KLslave*F52+KLslave*E52*F52</f>
        <v>1050</v>
      </c>
      <c r="Q52" s="22">
        <f t="shared" si="23"/>
        <v>125</v>
      </c>
      <c r="R52" s="20">
        <f t="shared" si="22"/>
        <v>4115</v>
      </c>
      <c r="S52" s="33">
        <f t="shared" si="4"/>
        <v>3.5722964763061968</v>
      </c>
      <c r="T52" s="26">
        <f t="shared" si="5"/>
        <v>2.5516403402187122</v>
      </c>
      <c r="U52" s="34">
        <f t="shared" si="6"/>
        <v>0.45565006075334141</v>
      </c>
      <c r="V52" s="13">
        <f t="shared" si="7"/>
        <v>6.57958687727825</v>
      </c>
      <c r="W52" s="123">
        <f t="shared" si="21"/>
        <v>0</v>
      </c>
      <c r="X52" s="4">
        <f t="shared" si="8"/>
        <v>6.57958687727825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1"/>
        <v>10</v>
      </c>
      <c r="N53" s="32">
        <f t="shared" si="2"/>
        <v>15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2940</v>
      </c>
      <c r="P53" s="11">
        <f>E53*E53*INslave+E53*KLslave*F53+KLslave*E53*F53</f>
        <v>1050</v>
      </c>
      <c r="Q53" s="22">
        <f t="shared" si="23"/>
        <v>125</v>
      </c>
      <c r="R53" s="20">
        <f t="shared" si="22"/>
        <v>4115</v>
      </c>
      <c r="S53" s="33">
        <f t="shared" si="4"/>
        <v>3.5722964763061968</v>
      </c>
      <c r="T53" s="26">
        <f t="shared" si="5"/>
        <v>2.5516403402187122</v>
      </c>
      <c r="U53" s="34">
        <f t="shared" si="6"/>
        <v>0.45565006075334141</v>
      </c>
      <c r="V53" s="13">
        <f t="shared" si="7"/>
        <v>6.57958687727825</v>
      </c>
      <c r="W53" s="123">
        <f t="shared" si="21"/>
        <v>0</v>
      </c>
      <c r="X53" s="4">
        <f t="shared" si="8"/>
        <v>6.57958687727825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1"/>
        <v>10</v>
      </c>
      <c r="N54" s="36">
        <f t="shared" si="2"/>
        <v>15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2940</v>
      </c>
      <c r="P54" s="19">
        <f>E54*E54*INslave+E54*KLslave*F54+KLslave*E54*F54</f>
        <v>1050</v>
      </c>
      <c r="Q54" s="23">
        <f t="shared" si="23"/>
        <v>125</v>
      </c>
      <c r="R54" s="24">
        <f>SUM(O54:Q54)</f>
        <v>4115</v>
      </c>
      <c r="S54" s="37">
        <f t="shared" si="4"/>
        <v>3.5722964763061968</v>
      </c>
      <c r="T54" s="25">
        <f t="shared" si="5"/>
        <v>2.5516403402187122</v>
      </c>
      <c r="U54" s="38">
        <f t="shared" si="6"/>
        <v>0.45565006075334141</v>
      </c>
      <c r="V54" s="14">
        <f t="shared" si="7"/>
        <v>6.57958687727825</v>
      </c>
      <c r="W54" s="123">
        <f t="shared" si="21"/>
        <v>0</v>
      </c>
      <c r="X54" s="5">
        <f t="shared" si="8"/>
        <v>6.57958687727825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5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5.333333333333333</v>
      </c>
      <c r="M56" s="27">
        <f t="shared" si="1"/>
        <v>10.666666666666666</v>
      </c>
      <c r="N56" s="28">
        <f t="shared" si="2"/>
        <v>16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2996</v>
      </c>
      <c r="P56" s="11">
        <f>D56*E56*FFslave+D56*KLslave*H56+MUslave*E56*H56</f>
        <v>1165</v>
      </c>
      <c r="Q56" s="62">
        <f t="shared" si="3"/>
        <v>150</v>
      </c>
      <c r="R56" s="60">
        <f>SUM(O56:Q56)</f>
        <v>4311</v>
      </c>
      <c r="S56" s="29">
        <f t="shared" si="4"/>
        <v>3.7064872806000153</v>
      </c>
      <c r="T56" s="30">
        <f t="shared" si="5"/>
        <v>2.8825485192917344</v>
      </c>
      <c r="U56" s="31">
        <f t="shared" si="6"/>
        <v>0.55671537926235215</v>
      </c>
      <c r="V56" s="12">
        <f t="shared" si="7"/>
        <v>7.145751179154102</v>
      </c>
      <c r="W56" s="123">
        <f t="shared" ref="W56:W72" si="26">Istwerte</f>
        <v>0</v>
      </c>
      <c r="X56" s="3">
        <f t="shared" si="8"/>
        <v>7.145751179154102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21.437253537462304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7</v>
      </c>
      <c r="J57" s="21"/>
      <c r="K57" s="22">
        <f>Konvention_1slave-KKslave</f>
        <v>11</v>
      </c>
      <c r="L57" s="27">
        <f t="shared" si="24"/>
        <v>8</v>
      </c>
      <c r="M57" s="27">
        <f t="shared" si="1"/>
        <v>16</v>
      </c>
      <c r="N57" s="32">
        <f t="shared" si="2"/>
        <v>24</v>
      </c>
      <c r="O57" s="11">
        <f t="shared" si="25"/>
        <v>3020</v>
      </c>
      <c r="P57" s="11">
        <f>H57*I57*KKslave+H57*GEslave*K57+FFslave*I57*K57</f>
        <v>2129</v>
      </c>
      <c r="Q57" s="22">
        <f t="shared" si="3"/>
        <v>462</v>
      </c>
      <c r="R57" s="20">
        <f t="shared" ref="R57:R71" si="27">SUM(O57:Q57)</f>
        <v>5611</v>
      </c>
      <c r="S57" s="33">
        <f t="shared" si="4"/>
        <v>4.3058278381750137</v>
      </c>
      <c r="T57" s="26">
        <f t="shared" si="5"/>
        <v>6.0709320976653007</v>
      </c>
      <c r="U57" s="34">
        <f t="shared" si="6"/>
        <v>1.9761183389770094</v>
      </c>
      <c r="V57" s="13">
        <f t="shared" si="7"/>
        <v>12.352878274817325</v>
      </c>
      <c r="W57" s="123">
        <f t="shared" si="26"/>
        <v>0</v>
      </c>
      <c r="X57" s="4">
        <f t="shared" si="8"/>
        <v>12.352878274817325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25.4115130992693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6</v>
      </c>
      <c r="I58" s="21"/>
      <c r="J58" s="21">
        <f>Konvention_1slave-KOslave</f>
        <v>5</v>
      </c>
      <c r="K58" s="22"/>
      <c r="L58" s="27">
        <f t="shared" si="24"/>
        <v>6</v>
      </c>
      <c r="M58" s="27">
        <f t="shared" si="1"/>
        <v>12</v>
      </c>
      <c r="N58" s="32">
        <f t="shared" si="2"/>
        <v>18</v>
      </c>
      <c r="O58" s="11">
        <f t="shared" si="25"/>
        <v>3062</v>
      </c>
      <c r="P58" s="11">
        <f>G58*H58*KOslave+G58*FFslave*J58+CHslave*H58*J58</f>
        <v>1403</v>
      </c>
      <c r="Q58" s="22">
        <f t="shared" si="3"/>
        <v>210</v>
      </c>
      <c r="R58" s="20">
        <f t="shared" si="27"/>
        <v>4675</v>
      </c>
      <c r="S58" s="33">
        <f t="shared" si="4"/>
        <v>3.9298395721925132</v>
      </c>
      <c r="T58" s="26">
        <f t="shared" si="5"/>
        <v>3.6012834224598929</v>
      </c>
      <c r="U58" s="34">
        <f t="shared" si="6"/>
        <v>0.80855614973262036</v>
      </c>
      <c r="V58" s="13">
        <f t="shared" si="7"/>
        <v>8.3396791443850269</v>
      </c>
      <c r="W58" s="123">
        <f t="shared" si="26"/>
        <v>0</v>
      </c>
      <c r="X58" s="4">
        <f t="shared" si="8"/>
        <v>8.3396791443850269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8.3396791443850269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5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5.666666666666667</v>
      </c>
      <c r="M59" s="27">
        <f t="shared" si="1"/>
        <v>11.333333333333334</v>
      </c>
      <c r="N59" s="32">
        <f t="shared" si="2"/>
        <v>17</v>
      </c>
      <c r="O59" s="11">
        <f t="shared" si="25"/>
        <v>3052</v>
      </c>
      <c r="P59" s="11">
        <f>E59*F59*CHslave+E59*INslave*G59+KLslave*F59*G59</f>
        <v>1280</v>
      </c>
      <c r="Q59" s="22">
        <f t="shared" si="3"/>
        <v>175</v>
      </c>
      <c r="R59" s="20">
        <f t="shared" si="27"/>
        <v>4507</v>
      </c>
      <c r="S59" s="33">
        <f t="shared" si="4"/>
        <v>3.8372901412617413</v>
      </c>
      <c r="T59" s="26">
        <f t="shared" si="5"/>
        <v>3.2186968419495603</v>
      </c>
      <c r="U59" s="34">
        <f t="shared" si="6"/>
        <v>0.66008431329043715</v>
      </c>
      <c r="V59" s="13">
        <f t="shared" si="7"/>
        <v>7.7160712965017391</v>
      </c>
      <c r="W59" s="123">
        <f t="shared" si="26"/>
        <v>0</v>
      </c>
      <c r="X59" s="4">
        <f t="shared" si="8"/>
        <v>7.7160712965017391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15.432142593003478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5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5</v>
      </c>
      <c r="M60" s="27">
        <f t="shared" si="1"/>
        <v>10</v>
      </c>
      <c r="N60" s="32">
        <f t="shared" si="2"/>
        <v>15</v>
      </c>
      <c r="O60" s="11">
        <f t="shared" si="25"/>
        <v>2940</v>
      </c>
      <c r="P60" s="11">
        <f>D60*E60*INslave+D60*KLslave*F60+MUslave*E60*F60</f>
        <v>1050</v>
      </c>
      <c r="Q60" s="22">
        <f t="shared" si="3"/>
        <v>125</v>
      </c>
      <c r="R60" s="20">
        <f t="shared" si="27"/>
        <v>4115</v>
      </c>
      <c r="S60" s="33">
        <f t="shared" si="4"/>
        <v>3.5722964763061968</v>
      </c>
      <c r="T60" s="26">
        <f t="shared" si="5"/>
        <v>2.5516403402187122</v>
      </c>
      <c r="U60" s="34">
        <f t="shared" si="6"/>
        <v>0.45565006075334141</v>
      </c>
      <c r="V60" s="13">
        <f t="shared" si="7"/>
        <v>6.57958687727825</v>
      </c>
      <c r="W60" s="123">
        <f t="shared" si="26"/>
        <v>0</v>
      </c>
      <c r="X60" s="4">
        <f t="shared" si="8"/>
        <v>6.57958687727825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13.1591737545565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5</v>
      </c>
      <c r="K61" s="22"/>
      <c r="L61" s="27">
        <f t="shared" si="24"/>
        <v>5</v>
      </c>
      <c r="M61" s="27">
        <f t="shared" si="1"/>
        <v>10</v>
      </c>
      <c r="N61" s="32">
        <f t="shared" si="2"/>
        <v>15</v>
      </c>
      <c r="O61" s="11">
        <f t="shared" si="25"/>
        <v>2940</v>
      </c>
      <c r="P61" s="11">
        <f>D61*F61*KOslave+D61*INslave*J61+MUslave*F61*J61</f>
        <v>1050</v>
      </c>
      <c r="Q61" s="22">
        <f t="shared" si="3"/>
        <v>125</v>
      </c>
      <c r="R61" s="20">
        <f t="shared" si="27"/>
        <v>4115</v>
      </c>
      <c r="S61" s="33">
        <f t="shared" si="4"/>
        <v>3.5722964763061968</v>
      </c>
      <c r="T61" s="26">
        <f t="shared" si="5"/>
        <v>2.5516403402187122</v>
      </c>
      <c r="U61" s="34">
        <f t="shared" si="6"/>
        <v>0.45565006075334141</v>
      </c>
      <c r="V61" s="13">
        <f t="shared" si="7"/>
        <v>6.57958687727825</v>
      </c>
      <c r="W61" s="123">
        <f t="shared" si="26"/>
        <v>0</v>
      </c>
      <c r="X61" s="4">
        <f t="shared" si="8"/>
        <v>6.57958687727825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13.1591737545565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7</v>
      </c>
      <c r="H62" s="21"/>
      <c r="I62" s="21"/>
      <c r="J62" s="21">
        <f>Konvention_1slave-KOslave</f>
        <v>5</v>
      </c>
      <c r="K62" s="22"/>
      <c r="L62" s="27">
        <f t="shared" si="24"/>
        <v>5.666666666666667</v>
      </c>
      <c r="M62" s="27">
        <f t="shared" si="1"/>
        <v>11.333333333333334</v>
      </c>
      <c r="N62" s="32">
        <f t="shared" si="2"/>
        <v>17</v>
      </c>
      <c r="O62" s="11">
        <f t="shared" si="25"/>
        <v>3052</v>
      </c>
      <c r="P62" s="11">
        <f>F62*G62*KOslave+F62*CHslave*J62+INslave*G62*J62</f>
        <v>1280</v>
      </c>
      <c r="Q62" s="22">
        <f t="shared" si="3"/>
        <v>175</v>
      </c>
      <c r="R62" s="20">
        <f t="shared" si="27"/>
        <v>4507</v>
      </c>
      <c r="S62" s="33">
        <f t="shared" si="4"/>
        <v>3.8372901412617413</v>
      </c>
      <c r="T62" s="26">
        <f t="shared" si="5"/>
        <v>3.2186968419495603</v>
      </c>
      <c r="U62" s="34">
        <f t="shared" si="6"/>
        <v>0.66008431329043715</v>
      </c>
      <c r="V62" s="13">
        <f t="shared" si="7"/>
        <v>7.7160712965017391</v>
      </c>
      <c r="W62" s="123">
        <f t="shared" si="26"/>
        <v>0</v>
      </c>
      <c r="X62" s="4">
        <f t="shared" si="8"/>
        <v>7.7160712965017391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15.432142593003478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5.666666666666667</v>
      </c>
      <c r="M63" s="27">
        <f t="shared" si="1"/>
        <v>11.333333333333334</v>
      </c>
      <c r="N63" s="32">
        <f t="shared" si="2"/>
        <v>17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3029</v>
      </c>
      <c r="P63" s="11">
        <f>E63*H63*FFslave+E63*FFslave*H63+KLslave*H63*H63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7"/>
        <v>4493</v>
      </c>
      <c r="S63" s="33">
        <f t="shared" si="4"/>
        <v>3.8202388901253808</v>
      </c>
      <c r="T63" s="26">
        <f t="shared" si="5"/>
        <v>3.2388159359002895</v>
      </c>
      <c r="U63" s="34">
        <f t="shared" si="6"/>
        <v>0.68105942577342538</v>
      </c>
      <c r="V63" s="13">
        <f t="shared" si="7"/>
        <v>7.7401142517990964</v>
      </c>
      <c r="W63" s="123">
        <f t="shared" si="26"/>
        <v>0</v>
      </c>
      <c r="X63" s="4">
        <f t="shared" si="8"/>
        <v>7.7401142517990964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7</v>
      </c>
      <c r="J64" s="21"/>
      <c r="K64" s="22">
        <f>Konvention_1slave-KKslave</f>
        <v>11</v>
      </c>
      <c r="L64" s="27">
        <f>(D64+E64+F64+G64+H64+I64+J64+K64)/3</f>
        <v>8</v>
      </c>
      <c r="M64" s="27">
        <f t="shared" si="1"/>
        <v>16</v>
      </c>
      <c r="N64" s="32">
        <f t="shared" si="2"/>
        <v>24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3020</v>
      </c>
      <c r="P64" s="11">
        <f>H64*I64*KKslave+H64*GEslave*K64+FFslave*I64*K64</f>
        <v>2129</v>
      </c>
      <c r="Q64" s="22">
        <f t="shared" si="3"/>
        <v>462</v>
      </c>
      <c r="R64" s="20">
        <f t="shared" si="27"/>
        <v>5611</v>
      </c>
      <c r="S64" s="33">
        <f t="shared" si="4"/>
        <v>4.3058278381750137</v>
      </c>
      <c r="T64" s="26">
        <f t="shared" si="5"/>
        <v>6.0709320976653007</v>
      </c>
      <c r="U64" s="34">
        <f t="shared" si="6"/>
        <v>1.9761183389770094</v>
      </c>
      <c r="V64" s="13">
        <f t="shared" si="7"/>
        <v>12.352878274817325</v>
      </c>
      <c r="W64" s="123">
        <f t="shared" si="26"/>
        <v>0</v>
      </c>
      <c r="X64" s="4">
        <f t="shared" si="8"/>
        <v>12.352878274817325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25.4115130992693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6</v>
      </c>
      <c r="I65" s="21"/>
      <c r="J65" s="21"/>
      <c r="K65" s="22"/>
      <c r="L65" s="27">
        <f>(F65+H65+H65)/3</f>
        <v>5.666666666666667</v>
      </c>
      <c r="M65" s="27">
        <f t="shared" si="1"/>
        <v>11.333333333333334</v>
      </c>
      <c r="N65" s="32">
        <f t="shared" si="2"/>
        <v>17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3029</v>
      </c>
      <c r="P65" s="11">
        <f>F65*H65*FFslave+F65*FFslave*H65+INslave*H65*H65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7"/>
        <v>4493</v>
      </c>
      <c r="S65" s="33">
        <f t="shared" si="4"/>
        <v>3.8202388901253808</v>
      </c>
      <c r="T65" s="26">
        <f t="shared" si="5"/>
        <v>3.2388159359002895</v>
      </c>
      <c r="U65" s="34">
        <f t="shared" si="6"/>
        <v>0.68105942577342538</v>
      </c>
      <c r="V65" s="13">
        <f t="shared" si="7"/>
        <v>7.7401142517990964</v>
      </c>
      <c r="W65" s="123">
        <f t="shared" si="26"/>
        <v>0</v>
      </c>
      <c r="X65" s="4">
        <f t="shared" si="8"/>
        <v>7.7401142517990964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7</v>
      </c>
      <c r="J66" s="21">
        <f>Konvention_1slave-KOslave</f>
        <v>5</v>
      </c>
      <c r="K66" s="22"/>
      <c r="L66" s="27">
        <f>(D66+E66+F66+G66+H66+I66+J66+K66)/3</f>
        <v>6</v>
      </c>
      <c r="M66" s="27">
        <f t="shared" si="1"/>
        <v>12</v>
      </c>
      <c r="N66" s="32">
        <f t="shared" si="2"/>
        <v>18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3062</v>
      </c>
      <c r="P66" s="11">
        <f>H66*I66*KOslave+H66*GEslave*J66+FFslave*I66*J66</f>
        <v>1403</v>
      </c>
      <c r="Q66" s="22">
        <f t="shared" si="3"/>
        <v>210</v>
      </c>
      <c r="R66" s="20">
        <f t="shared" si="27"/>
        <v>4675</v>
      </c>
      <c r="S66" s="33">
        <f t="shared" si="4"/>
        <v>3.9298395721925132</v>
      </c>
      <c r="T66" s="26">
        <f t="shared" si="5"/>
        <v>3.6012834224598929</v>
      </c>
      <c r="U66" s="34">
        <f t="shared" si="6"/>
        <v>0.80855614973262036</v>
      </c>
      <c r="V66" s="13">
        <f t="shared" si="7"/>
        <v>8.3396791443850269</v>
      </c>
      <c r="W66" s="123">
        <f t="shared" si="26"/>
        <v>0</v>
      </c>
      <c r="X66" s="4">
        <f t="shared" si="8"/>
        <v>8.3396791443850269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16.679358288770054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6</v>
      </c>
      <c r="I67" s="21"/>
      <c r="J67" s="21"/>
      <c r="K67" s="22"/>
      <c r="L67" s="27">
        <f>(F67+H67+H67)/3</f>
        <v>5.666666666666667</v>
      </c>
      <c r="M67" s="27">
        <f t="shared" si="1"/>
        <v>11.333333333333334</v>
      </c>
      <c r="N67" s="32">
        <f t="shared" si="2"/>
        <v>17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3029</v>
      </c>
      <c r="P67" s="11">
        <f>F67*H67*FFslave+F67*FFslave*H67+INslave*H67*H67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7"/>
        <v>4493</v>
      </c>
      <c r="S67" s="33">
        <f t="shared" si="4"/>
        <v>3.8202388901253808</v>
      </c>
      <c r="T67" s="26">
        <f t="shared" si="5"/>
        <v>3.2388159359002895</v>
      </c>
      <c r="U67" s="34">
        <f t="shared" si="6"/>
        <v>0.68105942577342538</v>
      </c>
      <c r="V67" s="13">
        <f t="shared" si="7"/>
        <v>7.7401142517990964</v>
      </c>
      <c r="W67" s="123">
        <f t="shared" si="26"/>
        <v>0</v>
      </c>
      <c r="X67" s="4">
        <f t="shared" si="8"/>
        <v>7.7401142517990964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5</v>
      </c>
      <c r="K68" s="22">
        <f>Konvention_1slave-KKslave</f>
        <v>11</v>
      </c>
      <c r="L68" s="27">
        <f>(D68+E68+F68+G68+H68+I68+J68+K68)/3</f>
        <v>7.333333333333333</v>
      </c>
      <c r="M68" s="27">
        <f t="shared" si="1"/>
        <v>14.666666666666666</v>
      </c>
      <c r="N68" s="32">
        <f t="shared" si="2"/>
        <v>22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3194</v>
      </c>
      <c r="P68" s="11">
        <f>H68*J68*KKslave+H68*KOslave*K68+FFslave*J68*K68</f>
        <v>1879</v>
      </c>
      <c r="Q68" s="22">
        <f>IFERROR(D68^SIGN(D68),1)*IFERROR(E68^SIGN(E68),1)*IFERROR(F68^SIGN(F68),1)*IFERROR(G68^SIGN(G68),1)*IFERROR(H68^SIGN(H68),1)*IFERROR(I68^SIGN(I68),1)*IFERROR(J68^SIGN(J68),1)*IFERROR(K68^SIGN(K68),1)</f>
        <v>330</v>
      </c>
      <c r="R68" s="20">
        <f t="shared" si="27"/>
        <v>5403</v>
      </c>
      <c r="S68" s="33">
        <f t="shared" si="4"/>
        <v>4.3351224628292915</v>
      </c>
      <c r="T68" s="26">
        <f t="shared" si="5"/>
        <v>5.1006231106175575</v>
      </c>
      <c r="U68" s="34">
        <f t="shared" si="6"/>
        <v>1.3436979455857856</v>
      </c>
      <c r="V68" s="13">
        <f t="shared" si="7"/>
        <v>10.779443519032634</v>
      </c>
      <c r="W68" s="123">
        <f t="shared" si="26"/>
        <v>0</v>
      </c>
      <c r="X68" s="4">
        <f t="shared" si="8"/>
        <v>10.779443519032634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32.338330557097905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6</v>
      </c>
      <c r="I69" s="21"/>
      <c r="J69" s="21">
        <f>Konvention_1slave-KOslave</f>
        <v>5</v>
      </c>
      <c r="K69" s="22"/>
      <c r="L69" s="27">
        <f>(D69+E69+F69+G69+H69+I69+J69+K69)/3</f>
        <v>6</v>
      </c>
      <c r="M69" s="27">
        <f t="shared" si="1"/>
        <v>12</v>
      </c>
      <c r="N69" s="32">
        <f t="shared" si="2"/>
        <v>18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3062</v>
      </c>
      <c r="P69" s="11">
        <f>G69*H69*KOslave+G69*FFslave*J69+CHslave*H69*J69</f>
        <v>1403</v>
      </c>
      <c r="Q69" s="22">
        <f>IFERROR(D69^SIGN(D69),1)*IFERROR(E69^SIGN(E69),1)*IFERROR(F69^SIGN(F69),1)*IFERROR(G69^SIGN(G69),1)*IFERROR(H69^SIGN(H69),1)*IFERROR(I69^SIGN(I69),1)*IFERROR(J69^SIGN(J69),1)*IFERROR(K69^SIGN(K69),1)</f>
        <v>210</v>
      </c>
      <c r="R69" s="20">
        <f t="shared" si="27"/>
        <v>4675</v>
      </c>
      <c r="S69" s="33">
        <f t="shared" si="4"/>
        <v>3.9298395721925132</v>
      </c>
      <c r="T69" s="26">
        <f t="shared" si="5"/>
        <v>3.6012834224598929</v>
      </c>
      <c r="U69" s="34">
        <f t="shared" si="6"/>
        <v>0.80855614973262036</v>
      </c>
      <c r="V69" s="13">
        <f t="shared" si="7"/>
        <v>8.3396791443850269</v>
      </c>
      <c r="W69" s="123">
        <f t="shared" si="26"/>
        <v>0</v>
      </c>
      <c r="X69" s="4">
        <f t="shared" si="8"/>
        <v>8.3396791443850269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8.3396791443850269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6</v>
      </c>
      <c r="I70" s="21"/>
      <c r="J70" s="21"/>
      <c r="K70" s="22"/>
      <c r="L70" s="27">
        <f>(F70+H70+H70)/3</f>
        <v>5.666666666666667</v>
      </c>
      <c r="M70" s="27">
        <f t="shared" si="1"/>
        <v>11.333333333333334</v>
      </c>
      <c r="N70" s="32">
        <f t="shared" si="2"/>
        <v>17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3029</v>
      </c>
      <c r="P70" s="11">
        <f>F70*H70*FFslave+F70*FFslave*H70+INslave*H70*H70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7"/>
        <v>4493</v>
      </c>
      <c r="S70" s="33">
        <f t="shared" si="4"/>
        <v>3.8202388901253808</v>
      </c>
      <c r="T70" s="26">
        <f t="shared" si="5"/>
        <v>3.2388159359002895</v>
      </c>
      <c r="U70" s="34">
        <f t="shared" si="6"/>
        <v>0.68105942577342538</v>
      </c>
      <c r="V70" s="13">
        <f t="shared" si="7"/>
        <v>7.7401142517990964</v>
      </c>
      <c r="W70" s="123">
        <f t="shared" si="26"/>
        <v>0</v>
      </c>
      <c r="X70" s="4">
        <f t="shared" si="8"/>
        <v>7.7401142517990964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11</v>
      </c>
      <c r="L71" s="27">
        <f>(H71+H71+K71)/3</f>
        <v>7.666666666666667</v>
      </c>
      <c r="M71" s="27">
        <f t="shared" si="1"/>
        <v>15.333333333333334</v>
      </c>
      <c r="N71" s="32">
        <f t="shared" si="2"/>
        <v>23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3107</v>
      </c>
      <c r="P71" s="11">
        <f>H71*H71*KKslave+H71*FFslave*K71+FFslave*H71*K71</f>
        <v>2004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396</v>
      </c>
      <c r="R71" s="20">
        <f t="shared" si="27"/>
        <v>5507</v>
      </c>
      <c r="S71" s="33">
        <f t="shared" si="4"/>
        <v>4.3254645602566439</v>
      </c>
      <c r="T71" s="26">
        <f t="shared" si="5"/>
        <v>5.5798075177047393</v>
      </c>
      <c r="U71" s="34">
        <f t="shared" si="6"/>
        <v>1.6538950426729617</v>
      </c>
      <c r="V71" s="13">
        <f t="shared" si="7"/>
        <v>11.559167120634346</v>
      </c>
      <c r="W71" s="123">
        <f t="shared" si="26"/>
        <v>0</v>
      </c>
      <c r="X71" s="4">
        <f t="shared" si="8"/>
        <v>11.559167120634346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11.559167120634346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5.666666666666667</v>
      </c>
      <c r="M72" s="25">
        <f t="shared" si="1"/>
        <v>11.333333333333334</v>
      </c>
      <c r="N72" s="36">
        <f t="shared" si="2"/>
        <v>17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3029</v>
      </c>
      <c r="P72" s="19">
        <f>E72*H72*FFslave+E72*FFslave*H72+KLslave*H72*H72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4"/>
        <v>3.8202388901253808</v>
      </c>
      <c r="T72" s="25">
        <f t="shared" si="5"/>
        <v>3.2388159359002895</v>
      </c>
      <c r="U72" s="38">
        <f t="shared" si="6"/>
        <v>0.68105942577342538</v>
      </c>
      <c r="V72" s="14">
        <f t="shared" si="7"/>
        <v>7.7401142517990964</v>
      </c>
      <c r="W72" s="123">
        <f t="shared" si="26"/>
        <v>0</v>
      </c>
      <c r="X72" s="5">
        <f t="shared" si="8"/>
        <v>7.7401142517990964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3023.0508474576272</v>
      </c>
      <c r="P74" s="30">
        <f>AVERAGE(P10:P72)</f>
        <v>1373.6779661016949</v>
      </c>
      <c r="Q74" s="31">
        <f>AVERAGE(Q10:Q72)</f>
        <v>209.89830508474577</v>
      </c>
      <c r="R74" s="31">
        <f>O74+P74+Q74</f>
        <v>4606.6271186440681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113.75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8.2355421132544677</v>
      </c>
      <c r="W75" s="56">
        <f>W78/COUNT(W10:W72)</f>
        <v>0</v>
      </c>
      <c r="X75" s="56">
        <f>X78/COUNTIF(X10:X72,"&gt;0")</f>
        <v>8.2355421132544677</v>
      </c>
      <c r="Y75" s="137">
        <v>0</v>
      </c>
      <c r="Z75" s="74">
        <f>Z78/COUNTIF(Z10:Z72,"&gt;0")</f>
        <v>17.335723028072863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140</v>
      </c>
      <c r="F78" s="45">
        <f t="shared" si="29"/>
        <v>150</v>
      </c>
      <c r="G78" s="45">
        <f t="shared" si="29"/>
        <v>126</v>
      </c>
      <c r="H78" s="45">
        <f t="shared" si="29"/>
        <v>114</v>
      </c>
      <c r="I78" s="45">
        <f t="shared" si="29"/>
        <v>105</v>
      </c>
      <c r="J78" s="45">
        <f t="shared" si="29"/>
        <v>75</v>
      </c>
      <c r="K78" s="46">
        <f t="shared" si="29"/>
        <v>110</v>
      </c>
      <c r="L78" s="50">
        <f>SUM(L10:L72)</f>
        <v>348.6666666666668</v>
      </c>
      <c r="M78" s="51">
        <f>SUM(M10:M72)</f>
        <v>697.3333333333336</v>
      </c>
      <c r="N78" s="52">
        <f>SUM(N10:N72)</f>
        <v>1046</v>
      </c>
      <c r="O78" s="47">
        <f>O74/O76</f>
        <v>0.44074221423788124</v>
      </c>
      <c r="P78" s="48">
        <f>P74/P76</f>
        <v>0.20027379590343999</v>
      </c>
      <c r="Q78" s="49">
        <f>Q74/Q76</f>
        <v>3.0601881481957395E-2</v>
      </c>
      <c r="R78" s="47">
        <f>O78+P78+Q78</f>
        <v>0.67161789162327867</v>
      </c>
      <c r="S78" s="47">
        <f>L78*O74/R74</f>
        <v>228.80885189968279</v>
      </c>
      <c r="T78" s="48">
        <f>M78*P74/R74</f>
        <v>207.94203879696784</v>
      </c>
      <c r="U78" s="49">
        <f>N78*Q74/R74</f>
        <v>47.66038610550018</v>
      </c>
      <c r="V78" s="53">
        <f>SUMIF(V10:V72,"&gt;0")</f>
        <v>485.89698468201362</v>
      </c>
      <c r="W78" s="66">
        <f>SUM(W10:W72)</f>
        <v>0</v>
      </c>
      <c r="X78" s="53">
        <f>SUMIF(X10:X72,"&gt;0")</f>
        <v>485.89698468201362</v>
      </c>
      <c r="Y78" s="53">
        <f>SUMIF(Y10:Y72,"&gt;0")</f>
        <v>0</v>
      </c>
      <c r="Z78" s="86">
        <f>SUMIF(Z10:Z72,"&gt;0")</f>
        <v>1022.8076586562989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3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3" priority="74" operator="lessThanOrEqual">
      <formula>0</formula>
    </cfRule>
  </conditionalFormatting>
  <conditionalFormatting sqref="J75:K75 D78:K78">
    <cfRule type="colorScale" priority="73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2" priority="9" operator="lessThanOrEqual">
      <formula>0</formula>
    </cfRule>
  </conditionalFormatting>
  <conditionalFormatting sqref="X56:X75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1"/>
  <sheetViews>
    <sheetView topLeftCell="A40" zoomScaleNormal="100" workbookViewId="0">
      <selection activeCell="D75" sqref="D75:I75"/>
    </sheetView>
  </sheetViews>
  <sheetFormatPr baseColWidth="10" defaultRowHeight="15"/>
  <cols>
    <col min="1" max="1" width="23.85546875" style="17" bestFit="1" customWidth="1"/>
    <col min="2" max="2" width="12.85546875" style="11" customWidth="1"/>
    <col min="3" max="3" width="2.7109375" style="11" customWidth="1"/>
    <col min="4" max="11" width="8.28515625" style="11" customWidth="1"/>
    <col min="12" max="14" width="13.140625" style="11" customWidth="1"/>
    <col min="15" max="17" width="12.42578125" style="11" customWidth="1"/>
    <col min="18" max="18" width="23.5703125" style="11" bestFit="1" customWidth="1"/>
    <col min="19" max="21" width="13.28515625" style="11" customWidth="1"/>
    <col min="22" max="22" width="24.140625" style="11" bestFit="1" customWidth="1"/>
    <col min="23" max="23" width="18.28515625" style="1" bestFit="1" customWidth="1"/>
    <col min="24" max="24" width="21.42578125" style="1" bestFit="1" customWidth="1"/>
    <col min="25" max="25" width="14.28515625" style="58" bestFit="1" customWidth="1"/>
    <col min="26" max="26" width="14" style="83" bestFit="1" customWidth="1"/>
    <col min="27" max="27" width="10.7109375" customWidth="1"/>
    <col min="29" max="16384" width="11.42578125" style="11"/>
  </cols>
  <sheetData>
    <row r="1" spans="1:29">
      <c r="D1" s="96" t="s">
        <v>0</v>
      </c>
      <c r="E1" s="97" t="s">
        <v>1</v>
      </c>
      <c r="F1" s="97" t="s">
        <v>2</v>
      </c>
      <c r="G1" s="97" t="s">
        <v>3</v>
      </c>
      <c r="H1" s="97" t="s">
        <v>4</v>
      </c>
      <c r="I1" s="97" t="s">
        <v>5</v>
      </c>
      <c r="J1" s="97" t="s">
        <v>6</v>
      </c>
      <c r="K1" s="98" t="s">
        <v>7</v>
      </c>
      <c r="L1" s="90" t="s">
        <v>121</v>
      </c>
      <c r="M1" s="81" t="s">
        <v>8</v>
      </c>
      <c r="N1" s="18"/>
    </row>
    <row r="2" spans="1:29">
      <c r="D2" s="95">
        <f>MUmaster</f>
        <v>14</v>
      </c>
      <c r="E2" s="95">
        <f>KLmaster</f>
        <v>14</v>
      </c>
      <c r="F2" s="95">
        <f>INmaster</f>
        <v>14</v>
      </c>
      <c r="G2" s="95">
        <f>CHmaster</f>
        <v>12</v>
      </c>
      <c r="H2" s="95">
        <f>FFmaster</f>
        <v>13</v>
      </c>
      <c r="I2" s="95">
        <f>GEmaster</f>
        <v>12</v>
      </c>
      <c r="J2" s="95">
        <f>KOmaster</f>
        <v>13</v>
      </c>
      <c r="K2" s="95">
        <f>KKmaster+1</f>
        <v>9</v>
      </c>
      <c r="L2" s="19">
        <f>MUslave+KLslave+INslave+CHslave+FFslave+GEslave+KOslave+KKslave</f>
        <v>101</v>
      </c>
      <c r="M2" s="124">
        <v>19</v>
      </c>
      <c r="W2" s="18"/>
    </row>
    <row r="3" spans="1:29" customFormat="1">
      <c r="Y3" s="18"/>
      <c r="Z3" s="82"/>
    </row>
    <row r="4" spans="1:29" customFormat="1">
      <c r="D4" s="153" t="s">
        <v>146</v>
      </c>
      <c r="E4" s="154"/>
      <c r="F4" s="154"/>
      <c r="G4" s="154"/>
      <c r="H4" s="154"/>
      <c r="I4" s="154"/>
      <c r="J4" s="154"/>
      <c r="K4" s="154"/>
      <c r="L4" s="64" t="s">
        <v>157</v>
      </c>
      <c r="M4" s="64" t="s">
        <v>150</v>
      </c>
      <c r="N4" s="65" t="s">
        <v>155</v>
      </c>
      <c r="O4" s="64" t="s">
        <v>153</v>
      </c>
      <c r="P4" s="70" t="s">
        <v>154</v>
      </c>
      <c r="Y4" s="18"/>
      <c r="Z4" s="82"/>
    </row>
    <row r="5" spans="1:29" customFormat="1">
      <c r="D5" s="81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81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90</v>
      </c>
      <c r="F5" s="9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90</v>
      </c>
      <c r="G5" s="9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60</v>
      </c>
      <c r="H5" s="9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75</v>
      </c>
      <c r="I5" s="9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60</v>
      </c>
      <c r="J5" s="9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75</v>
      </c>
      <c r="K5" s="9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91">
        <f>SUM(D5:K5)</f>
        <v>555</v>
      </c>
      <c r="M5" s="92">
        <f>W81</f>
        <v>0</v>
      </c>
      <c r="N5" s="93">
        <f>L5+M5</f>
        <v>555</v>
      </c>
      <c r="O5" s="125">
        <v>1100</v>
      </c>
      <c r="P5" s="94">
        <f>O5-N5</f>
        <v>545</v>
      </c>
      <c r="Y5" s="18"/>
      <c r="Z5" s="82"/>
    </row>
    <row r="6" spans="1:29">
      <c r="V6" s="1"/>
      <c r="W6" s="18"/>
    </row>
    <row r="7" spans="1:29">
      <c r="A7" s="142"/>
      <c r="D7" s="158" t="s">
        <v>130</v>
      </c>
      <c r="E7" s="145"/>
      <c r="F7" s="145"/>
      <c r="G7" s="145"/>
      <c r="H7" s="145"/>
      <c r="I7" s="145"/>
      <c r="J7" s="145"/>
      <c r="K7" s="146"/>
      <c r="L7" s="158" t="s">
        <v>176</v>
      </c>
      <c r="M7" s="145"/>
      <c r="N7" s="146"/>
      <c r="O7" s="158" t="s">
        <v>175</v>
      </c>
      <c r="P7" s="145"/>
      <c r="Q7" s="146"/>
      <c r="R7" s="8" t="s">
        <v>116</v>
      </c>
      <c r="S7" s="158" t="s">
        <v>177</v>
      </c>
      <c r="T7" s="145"/>
      <c r="U7" s="146"/>
      <c r="V7" s="7" t="s">
        <v>178</v>
      </c>
      <c r="W7" s="64" t="s">
        <v>145</v>
      </c>
      <c r="X7" s="7" t="s">
        <v>123</v>
      </c>
      <c r="Y7" s="67" t="s">
        <v>135</v>
      </c>
      <c r="Z7" s="67" t="s">
        <v>137</v>
      </c>
      <c r="AB7" s="84"/>
      <c r="AC7" s="84"/>
    </row>
    <row r="8" spans="1:29" ht="15.75" thickBot="1">
      <c r="A8" s="142"/>
      <c r="B8" s="21"/>
      <c r="C8" s="22"/>
      <c r="D8" s="141" t="s">
        <v>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41" t="s">
        <v>7</v>
      </c>
      <c r="L8" s="141" t="s">
        <v>111</v>
      </c>
      <c r="M8" s="141" t="s">
        <v>112</v>
      </c>
      <c r="N8" s="141" t="s">
        <v>113</v>
      </c>
      <c r="O8" s="141" t="s">
        <v>108</v>
      </c>
      <c r="P8" s="141" t="s">
        <v>109</v>
      </c>
      <c r="Q8" s="141" t="s">
        <v>110</v>
      </c>
      <c r="R8" s="141" t="s">
        <v>118</v>
      </c>
      <c r="S8" s="140" t="s">
        <v>131</v>
      </c>
      <c r="T8" s="140" t="s">
        <v>132</v>
      </c>
      <c r="U8" s="140" t="s">
        <v>133</v>
      </c>
      <c r="V8" s="117" t="s">
        <v>122</v>
      </c>
      <c r="W8" s="140" t="s">
        <v>128</v>
      </c>
      <c r="X8" s="117" t="s">
        <v>129</v>
      </c>
      <c r="Y8" s="118" t="s">
        <v>144</v>
      </c>
      <c r="Z8" s="118" t="s">
        <v>136</v>
      </c>
      <c r="AB8" s="84"/>
      <c r="AC8" s="84"/>
    </row>
    <row r="9" spans="1:29" ht="15.75" thickBot="1">
      <c r="A9" s="6" t="s">
        <v>69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19"/>
      <c r="N9" s="19"/>
      <c r="O9" s="19"/>
      <c r="P9" s="19"/>
      <c r="Q9" s="19"/>
      <c r="R9" s="19"/>
      <c r="S9" s="26"/>
      <c r="T9" s="26"/>
      <c r="U9" s="26"/>
      <c r="V9" s="16"/>
      <c r="W9" s="11"/>
      <c r="Y9" s="11"/>
      <c r="Z9" s="11"/>
      <c r="AA9" s="11"/>
      <c r="AB9" s="11"/>
    </row>
    <row r="10" spans="1:29">
      <c r="A10" s="17" t="s">
        <v>10</v>
      </c>
      <c r="B10" s="8" t="s">
        <v>9</v>
      </c>
      <c r="C10" s="64" t="s">
        <v>138</v>
      </c>
      <c r="D10" s="60">
        <f>Konvention_1slave-MUslave</f>
        <v>5</v>
      </c>
      <c r="E10" s="61"/>
      <c r="F10" s="61">
        <f>Konvention_1slave-INslave</f>
        <v>5</v>
      </c>
      <c r="G10" s="61"/>
      <c r="H10" s="61"/>
      <c r="I10" s="61">
        <f>Konvention_1slave-GEslave</f>
        <v>7</v>
      </c>
      <c r="J10" s="61"/>
      <c r="K10" s="62"/>
      <c r="L10" s="27">
        <f>(D10+E10+F10+G10+H10+I10+J10+K10)/3</f>
        <v>5.666666666666667</v>
      </c>
      <c r="M10" s="27">
        <f>2*L10</f>
        <v>11.333333333333334</v>
      </c>
      <c r="N10" s="28">
        <f>3*L10</f>
        <v>17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3052</v>
      </c>
      <c r="P10" s="11">
        <f>D10*F10*GEslave+D10*INslave*I10+MUslave*F10*I10</f>
        <v>1280</v>
      </c>
      <c r="Q10" s="62">
        <f>IFERROR(D10^SIGN(D10),1)*IFERROR(E10^SIGN(E10),1)*IFERROR(F10^SIGN(F10),1)*IFERROR(G10^SIGN(G10),1)*IFERROR(H10^SIGN(H10),1)*IFERROR(I10^SIGN(I10),1)*IFERROR(J10^SIGN(J10),1)*IFERROR(K10^SIGN(K10),1)</f>
        <v>175</v>
      </c>
      <c r="R10" s="60">
        <f>SUM(O10:Q10)</f>
        <v>4507</v>
      </c>
      <c r="S10" s="29">
        <f>L10*O10/R10</f>
        <v>3.8372901412617413</v>
      </c>
      <c r="T10" s="30">
        <f>M10*P10/R10</f>
        <v>3.2186968419495603</v>
      </c>
      <c r="U10" s="31">
        <f>N10*Q10/R10</f>
        <v>0.66008431329043715</v>
      </c>
      <c r="V10" s="3">
        <f>SUM(S10:U10)</f>
        <v>7.7160712965017391</v>
      </c>
      <c r="W10" s="129">
        <f t="shared" ref="W10:W23" si="0">Istwerte</f>
        <v>0</v>
      </c>
      <c r="X10" s="3">
        <f>V10-W10</f>
        <v>7.7160712965017391</v>
      </c>
      <c r="Y10" s="71">
        <f xml:space="preserve"> IF(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&gt;0, (W10*2+IF((W10)&gt;12,W10-12,0)*2+IF(W10&gt;13,W10-13,0)*2+IF(W10&gt;14,W10-14,0)*2+IF(W10&gt;15,W10-15,0)*2+IF(W10&gt;16,W10-16,0)*2+IF(W10&gt;17,W10-17,0)*2+IF(W10&gt;18,W10-18,0)*2+IF(W10&gt;19,W10-19,0)*2+IF(W10&gt;20,W10-20,0)*2)-(V10*2+IF((V10)&gt;12,V10-12,0)*2+IF(V10&gt;13,V10-13,0)*2+IF(V10&gt;14,V10-14,0)*2+IF(V10&gt;15,V10-15,0)*2+IF(V10&gt;16,V10-16,0)*2+IF(V10&gt;17,V10-17,0)*2+IF(V10&gt;18,V10-18,0)*2+IF(V10&gt;19,V10-19,0)*2+IF(V10&gt;20,V10-20,0)*2),0)</f>
        <v>0</v>
      </c>
      <c r="Z10" s="71">
        <f>IF(X10&gt;0,X10,0)*2+IF((W10+X10)&gt;12,(W10+X10)-12,0)*2+IF((W10+X10)&gt;13,(W10+X10)-13,0)*2+IF((W10+X10)&gt;14,(W10+X10)-14,0)*2+IF((W10+X10)&gt;15,(W10+X10)-15,0)*2+IF((W10+X10)&gt;16,(W10+X10)-16,0)*2+IF((W10+X10)&gt;17,(W10+X10)-17,0)*2+IF((W10+X10)&gt;18,(W10+X10)-18,0)*2+IF((W10+X10)&gt;19,(W10+X10)-19,0)*2+IF((W10+X10)&gt;20,(W10+X10)-20,0)*2</f>
        <v>15.432142593003478</v>
      </c>
      <c r="AA10" s="11"/>
      <c r="AB10" s="11"/>
    </row>
    <row r="11" spans="1:29">
      <c r="A11" s="17" t="s">
        <v>11</v>
      </c>
      <c r="B11" s="9" t="s">
        <v>74</v>
      </c>
      <c r="C11" s="68" t="s">
        <v>139</v>
      </c>
      <c r="D11" s="20">
        <f>Konvention_1slave-MUslave</f>
        <v>5</v>
      </c>
      <c r="E11" s="21"/>
      <c r="F11" s="21"/>
      <c r="G11" s="21">
        <f>Konvention_1slave-CHslave</f>
        <v>7</v>
      </c>
      <c r="H11" s="21">
        <f>Konvention_1slave-FFslave</f>
        <v>6</v>
      </c>
      <c r="I11" s="21"/>
      <c r="J11" s="21"/>
      <c r="K11" s="22"/>
      <c r="L11" s="27">
        <f>(D11+E11+F11+G11+H11+I11+J11+K11)/3</f>
        <v>6</v>
      </c>
      <c r="M11" s="27">
        <f t="shared" ref="M11:M72" si="1">2*L11</f>
        <v>12</v>
      </c>
      <c r="N11" s="32">
        <f t="shared" ref="N11:N72" si="2">3*L11</f>
        <v>18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3062</v>
      </c>
      <c r="P11" s="11">
        <f>D11*G11*FFslave+D11*CHslave*H11+MUslave*G11*H11</f>
        <v>1403</v>
      </c>
      <c r="Q11" s="22">
        <f t="shared" ref="Q11:Q66" si="3">IFERROR(D11^SIGN(D11),1)*IFERROR(E11^SIGN(E11),1)*IFERROR(F11^SIGN(F11),1)*IFERROR(G11^SIGN(G11),1)*IFERROR(H11^SIGN(H11),1)*IFERROR(I11^SIGN(I11),1)*IFERROR(J11^SIGN(J11),1)*IFERROR(K11^SIGN(K11),1)</f>
        <v>210</v>
      </c>
      <c r="R11" s="20">
        <f>SUM(O11:Q11)</f>
        <v>4675</v>
      </c>
      <c r="S11" s="33">
        <f t="shared" ref="S11:S72" si="4">L11*O11/R11</f>
        <v>3.9298395721925132</v>
      </c>
      <c r="T11" s="26">
        <f t="shared" ref="T11:T72" si="5">M11*P11/R11</f>
        <v>3.6012834224598929</v>
      </c>
      <c r="U11" s="34">
        <f t="shared" ref="U11:U72" si="6">N11*Q11/R11</f>
        <v>0.80855614973262036</v>
      </c>
      <c r="V11" s="4">
        <f t="shared" ref="V11:V72" si="7">SUM(S11:U11)</f>
        <v>8.3396791443850269</v>
      </c>
      <c r="W11" s="123">
        <f t="shared" si="0"/>
        <v>0</v>
      </c>
      <c r="X11" s="4">
        <f t="shared" ref="X11:X72" si="8">V11-W11</f>
        <v>8.3396791443850269</v>
      </c>
      <c r="Y11" s="72">
        <f t="shared" ref="Y11:Y72" si="9" xml:space="preserve"> IF(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&gt;0, (W11*2+IF((W11)&gt;12,W11-12,0)*2+IF(W11&gt;13,W11-13,0)*2+IF(W11&gt;14,W11-14,0)*2+IF(W11&gt;15,W11-15,0)*2+IF(W11&gt;16,W11-16,0)*2+IF(W11&gt;17,W11-17,0)*2+IF(W11&gt;18,W11-18,0)*2+IF(W11&gt;19,W11-19,0)*2+IF(W11&gt;20,W11-20,0)*2)-(V11*2+IF((V11)&gt;12,V11-12,0)*2+IF(V11&gt;13,V11-13,0)*2+IF(V11&gt;14,V11-14,0)*2+IF(V11&gt;15,V11-15,0)*2+IF(V11&gt;16,V11-16,0)*2+IF(V11&gt;17,V11-17,0)*2+IF(V11&gt;18,V11-18,0)*2+IF(V11&gt;19,V11-19,0)*2+IF(V11&gt;20,V11-20,0)*2),0)</f>
        <v>0</v>
      </c>
      <c r="Z11" s="72">
        <f>IF(X11&gt;0,X11,0)*1+IF((W11+X11)&gt;12,(W11+X11)-12,0)*1+IF((W11+X11)&gt;13,(W11+X11)-13,0)*1+IF((W11+X11)&gt;14,(W11+X11)-14,0)*1+IF((W11+X11)&gt;15,(W11+X11)-15,0)*1+IF((W11+X11)&gt;16,(W11+X11)-16,0)*1+IF((W11+X11)&gt;17,(W11+X11)-17,0)*1+IF((W11+X11)&gt;18,(W11+X11)-18,0)*1+IF((W11+X11)&gt;19,(W11+X11)-19,0)*1+IF((W11+X11)&gt;20,(W11+X11)-20,0)*1</f>
        <v>8.3396791443850269</v>
      </c>
      <c r="AA11" s="11"/>
      <c r="AB11" s="11"/>
    </row>
    <row r="12" spans="1:29">
      <c r="A12" s="17" t="s">
        <v>12</v>
      </c>
      <c r="B12" s="9" t="s">
        <v>75</v>
      </c>
      <c r="C12" s="68" t="s">
        <v>138</v>
      </c>
      <c r="D12" s="20">
        <f>Konvention_1slave-MUslave</f>
        <v>5</v>
      </c>
      <c r="E12" s="21"/>
      <c r="F12" s="21"/>
      <c r="G12" s="21"/>
      <c r="H12" s="21"/>
      <c r="I12" s="21">
        <f>Konvention_1slave-GEslave</f>
        <v>7</v>
      </c>
      <c r="J12" s="21"/>
      <c r="K12" s="22">
        <f>Konvention_1slave-KKslave</f>
        <v>10</v>
      </c>
      <c r="L12" s="27">
        <f>(D12+E12+F12+G12+H12+I12+J12+K12)/3</f>
        <v>7.333333333333333</v>
      </c>
      <c r="M12" s="27">
        <f t="shared" si="1"/>
        <v>14.666666666666666</v>
      </c>
      <c r="N12" s="32">
        <f t="shared" si="2"/>
        <v>22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3102</v>
      </c>
      <c r="P12" s="11">
        <f>D12*I12*KKslave+D12*GEslave*K12+MUslave*I12*K12</f>
        <v>1895</v>
      </c>
      <c r="Q12" s="22">
        <f t="shared" si="3"/>
        <v>350</v>
      </c>
      <c r="R12" s="20">
        <f t="shared" ref="R12:R22" si="10">SUM(O12:Q12)</f>
        <v>5347</v>
      </c>
      <c r="S12" s="33">
        <f t="shared" si="4"/>
        <v>4.2543482326538244</v>
      </c>
      <c r="T12" s="26">
        <f t="shared" si="5"/>
        <v>5.1979303035970323</v>
      </c>
      <c r="U12" s="34">
        <f t="shared" si="6"/>
        <v>1.4400598466429775</v>
      </c>
      <c r="V12" s="4">
        <f t="shared" si="7"/>
        <v>10.892338382893834</v>
      </c>
      <c r="W12" s="123">
        <f t="shared" si="0"/>
        <v>0</v>
      </c>
      <c r="X12" s="4">
        <f t="shared" si="8"/>
        <v>10.892338382893834</v>
      </c>
      <c r="Y12" s="72">
        <f t="shared" si="9"/>
        <v>0</v>
      </c>
      <c r="Z12" s="72">
        <f>IF(X12&gt;0,X12,0)*2+IF((W12+X12)&gt;12,(W12+X12)-12,0)*2+IF((W12+X12)&gt;13,(W12+X12)-13,0)*2+IF((W12+X12)&gt;14,(W12+X12)-14,0)*2+IF((W12+X12)&gt;15,(W12+X12)-15,0)*2+IF((W12+X12)&gt;16,(W12+X12)-16,0)*2+IF((W12+X12)&gt;17,(W12+X12)-17,0)*2+IF((W12+X12)&gt;18,(W12+X12)-18,0)*2+IF((W12+X12)&gt;19,(W12+X12)-19,0)*2+IF((W12+X12)&gt;20,(W12+X12)-20,0)*2</f>
        <v>21.784676765787669</v>
      </c>
      <c r="AA12" s="11"/>
      <c r="AB12" s="11"/>
    </row>
    <row r="13" spans="1:29">
      <c r="A13" s="17" t="s">
        <v>13</v>
      </c>
      <c r="B13" s="9" t="s">
        <v>76</v>
      </c>
      <c r="C13" s="68" t="s">
        <v>140</v>
      </c>
      <c r="D13" s="20"/>
      <c r="E13" s="21"/>
      <c r="F13" s="21"/>
      <c r="G13" s="21"/>
      <c r="H13" s="21"/>
      <c r="I13" s="21">
        <f>Konvention_1slave-GEslave</f>
        <v>7</v>
      </c>
      <c r="J13" s="21">
        <f>Konvention_1slave-KOslave</f>
        <v>6</v>
      </c>
      <c r="K13" s="22"/>
      <c r="L13" s="27">
        <f>(I13+I13+J13)/3</f>
        <v>6.666666666666667</v>
      </c>
      <c r="M13" s="27">
        <f t="shared" si="1"/>
        <v>13.333333333333334</v>
      </c>
      <c r="N13" s="32">
        <f t="shared" si="2"/>
        <v>20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3048</v>
      </c>
      <c r="P13" s="11">
        <f>I13*I13*KOslave+I13*GEslave*J13+GEslave*I13*J13</f>
        <v>1645</v>
      </c>
      <c r="Q13" s="22">
        <f>IFERROR(D13^SIGN(D13),1)*IFERROR(E13^SIGN(E13),1)*IFERROR(F13^SIGN(F13),1)*IFERROR(G13^SIGN(G13),1)*IFERROR(H13^SIGN(H13),1)*IFERROR(I13^SIGN(I13),1)*IFERROR(J13^SIGN(J13),1)*IFERROR(K13^SIGN(K13),1)*IFERROR(I13^SIGN(I13),1)</f>
        <v>294</v>
      </c>
      <c r="R13" s="20">
        <f t="shared" si="10"/>
        <v>4987</v>
      </c>
      <c r="S13" s="33">
        <f t="shared" si="4"/>
        <v>4.0745939442550636</v>
      </c>
      <c r="T13" s="26">
        <f t="shared" si="5"/>
        <v>4.3981017311677029</v>
      </c>
      <c r="U13" s="34">
        <f t="shared" si="6"/>
        <v>1.1790655704832564</v>
      </c>
      <c r="V13" s="4">
        <f t="shared" si="7"/>
        <v>9.6517612459060231</v>
      </c>
      <c r="W13" s="123">
        <f t="shared" si="0"/>
        <v>0</v>
      </c>
      <c r="X13" s="4">
        <f t="shared" si="8"/>
        <v>9.6517612459060231</v>
      </c>
      <c r="Y13" s="72">
        <f t="shared" si="9"/>
        <v>0</v>
      </c>
      <c r="Z13" s="72">
        <f>IF(X13&gt;0,X13,0)*4+IF((W13+X13)&gt;12,(W13+X13)-12,0)*4+IF((W13+X13)&gt;13,(W13+X13)-13,0)*4+IF((W13+X13)&gt;14,(W13+X13)-14,0)*4+IF((W13+X13)&gt;15,(W13+X13)-15,0)*4+IF((W13+X13)&gt;16,(W13+X13)-16,0)*4+IF((W13+X13)&gt;17,(W13+X13)-17,0)*4+IF((W13+X13)&gt;18,(W13+X13)-18,0)*4+IF((W13+X13)&gt;19,(W13+X13)-19,0)*4+IF((W13+X13)&gt;20,(W13+X13)-20,0)*4</f>
        <v>38.607044983624093</v>
      </c>
      <c r="AA13" s="11"/>
      <c r="AB13" s="11"/>
    </row>
    <row r="14" spans="1:29">
      <c r="A14" s="17" t="s">
        <v>14</v>
      </c>
      <c r="B14" s="9" t="s">
        <v>77</v>
      </c>
      <c r="C14" s="68" t="s">
        <v>138</v>
      </c>
      <c r="D14" s="20"/>
      <c r="E14" s="21"/>
      <c r="F14" s="21"/>
      <c r="G14" s="21"/>
      <c r="H14" s="21"/>
      <c r="I14" s="21"/>
      <c r="J14" s="21">
        <f>Konvention_1slave-KOslave</f>
        <v>6</v>
      </c>
      <c r="K14" s="22">
        <f>Konvention_1slave-KKslave</f>
        <v>10</v>
      </c>
      <c r="L14" s="27">
        <f>(J14+K14+K14)/3</f>
        <v>8.6666666666666661</v>
      </c>
      <c r="M14" s="27">
        <f t="shared" si="1"/>
        <v>17.333333333333332</v>
      </c>
      <c r="N14" s="32">
        <f t="shared" si="2"/>
        <v>26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2826</v>
      </c>
      <c r="P14" s="11">
        <f>J14*K14*KKslave+J14*KKslave*K14+KOslave*K14*K14</f>
        <v>2380</v>
      </c>
      <c r="Q14" s="22">
        <f>IFERROR(D14^SIGN(D14),1)*IFERROR(E14^SIGN(E14),1)*IFERROR(F14^SIGN(F14),1)*IFERROR(G14^SIGN(G14),1)*IFERROR(H14^SIGN(H14),1)*IFERROR(I14^SIGN(I14),1)*IFERROR(J14^SIGN(J14),1)*IFERROR(K14^SIGN(K14),1)*IFERROR(K14^SIGN(K14),1)</f>
        <v>600</v>
      </c>
      <c r="R14" s="20">
        <f t="shared" si="10"/>
        <v>5806</v>
      </c>
      <c r="S14" s="33">
        <f t="shared" si="4"/>
        <v>4.2183947640372033</v>
      </c>
      <c r="T14" s="26">
        <f t="shared" si="5"/>
        <v>7.1052933746698805</v>
      </c>
      <c r="U14" s="34">
        <f t="shared" si="6"/>
        <v>2.6868756458835685</v>
      </c>
      <c r="V14" s="4">
        <f t="shared" si="7"/>
        <v>14.010563784590651</v>
      </c>
      <c r="W14" s="123">
        <f t="shared" si="0"/>
        <v>0</v>
      </c>
      <c r="X14" s="4">
        <f t="shared" si="8"/>
        <v>14.010563784590651</v>
      </c>
      <c r="Y14" s="72">
        <f t="shared" si="9"/>
        <v>0</v>
      </c>
      <c r="Z14" s="72">
        <f>IF(X14&gt;0,X14,0)*2+IF((W14+X14)&gt;12,(W14+X14)-12,0)*2+IF((W14+X14)&gt;13,(W14+X14)-13,0)*2+IF((W14+X14)&gt;14,(W14+X14)-14,0)*2+IF((W14+X14)&gt;15,(W14+X14)-15,0)*2+IF((W14+X14)&gt;16,(W14+X14)-16,0)*2+IF((W14+X14)&gt;17,(W14+X14)-17,0)*2+IF((W14+X14)&gt;18,(W14+X14)-18,0)*2+IF((W14+X14)&gt;19,(W14+X14)-19,0)*2+IF((W14+X14)&gt;20,(W14+X14)-20,0)*2</f>
        <v>34.084510276725211</v>
      </c>
      <c r="AA14" s="11"/>
      <c r="AB14" s="11"/>
    </row>
    <row r="15" spans="1:29">
      <c r="A15" s="17" t="s">
        <v>15</v>
      </c>
      <c r="B15" s="9" t="s">
        <v>78</v>
      </c>
      <c r="C15" s="68" t="s">
        <v>138</v>
      </c>
      <c r="D15" s="20"/>
      <c r="E15" s="21"/>
      <c r="F15" s="21"/>
      <c r="G15" s="21">
        <f>Konvention_1slave-CHslave</f>
        <v>7</v>
      </c>
      <c r="H15" s="21"/>
      <c r="I15" s="21">
        <f>Konvention_1slave-GEslave</f>
        <v>7</v>
      </c>
      <c r="J15" s="21"/>
      <c r="K15" s="22">
        <f>Konvention_1slave-KKslave</f>
        <v>10</v>
      </c>
      <c r="L15" s="27">
        <f>(D15+E15+F15+G15+H15+I15+J15+K15)/3</f>
        <v>8</v>
      </c>
      <c r="M15" s="27">
        <f t="shared" si="1"/>
        <v>16</v>
      </c>
      <c r="N15" s="32">
        <f t="shared" si="2"/>
        <v>24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2952</v>
      </c>
      <c r="P15" s="11">
        <f>G15*I15*KKslave+G15*GEslave*K15+CHslave*I15*K15</f>
        <v>2121</v>
      </c>
      <c r="Q15" s="22">
        <f t="shared" si="3"/>
        <v>490</v>
      </c>
      <c r="R15" s="20">
        <f t="shared" si="10"/>
        <v>5563</v>
      </c>
      <c r="S15" s="33">
        <f t="shared" si="4"/>
        <v>4.2451914434657558</v>
      </c>
      <c r="T15" s="26">
        <f t="shared" si="5"/>
        <v>6.100305590508718</v>
      </c>
      <c r="U15" s="34">
        <f t="shared" si="6"/>
        <v>2.113967283839655</v>
      </c>
      <c r="V15" s="4">
        <f t="shared" si="7"/>
        <v>12.459464317814129</v>
      </c>
      <c r="W15" s="123">
        <f t="shared" si="0"/>
        <v>0</v>
      </c>
      <c r="X15" s="4">
        <f t="shared" si="8"/>
        <v>12.459464317814129</v>
      </c>
      <c r="Y15" s="72">
        <f t="shared" si="9"/>
        <v>0</v>
      </c>
      <c r="Z15" s="72">
        <f>IF(X15&gt;0,X15,0)*2+IF((W15+X15)&gt;12,(W15+X15)-12,0)*2+IF((W15+X15)&gt;13,(W15+X15)-13,0)*2+IF((W15+X15)&gt;14,(W15+X15)-14,0)*2+IF((W15+X15)&gt;15,(W15+X15)-15,0)*2+IF((W15+X15)&gt;16,(W15+X15)-16,0)*2+IF((W15+X15)&gt;17,(W15+X15)-17,0)*2+IF((W15+X15)&gt;18,(W15+X15)-18,0)*2+IF((W15+X15)&gt;19,(W15+X15)-19,0)*2+IF((W15+X15)&gt;20,(W15+X15)-20,0)*2</f>
        <v>25.837857271256517</v>
      </c>
      <c r="AA15" s="11"/>
      <c r="AB15" s="11"/>
    </row>
    <row r="16" spans="1:29">
      <c r="A16" s="17" t="s">
        <v>16</v>
      </c>
      <c r="B16" s="9" t="s">
        <v>79</v>
      </c>
      <c r="C16" s="68" t="s">
        <v>138</v>
      </c>
      <c r="D16" s="20"/>
      <c r="E16" s="21"/>
      <c r="F16" s="21"/>
      <c r="G16" s="21"/>
      <c r="H16" s="21"/>
      <c r="I16" s="21">
        <f>Konvention_1slave-GEslave</f>
        <v>7</v>
      </c>
      <c r="J16" s="21">
        <f>Konvention_1slave-KOslave</f>
        <v>6</v>
      </c>
      <c r="K16" s="22">
        <f>Konvention_1slave-KKslave</f>
        <v>10</v>
      </c>
      <c r="L16" s="27">
        <f>(D16+E16+F16+G16+H16+I16+J16+K16)/3</f>
        <v>7.666666666666667</v>
      </c>
      <c r="M16" s="27">
        <f t="shared" si="1"/>
        <v>15.333333333333334</v>
      </c>
      <c r="N16" s="32">
        <f t="shared" si="2"/>
        <v>23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3027</v>
      </c>
      <c r="P16" s="11">
        <f>I16*J16*KKslave+I16*KOslave*K16+GEslave*J16*K16</f>
        <v>2008</v>
      </c>
      <c r="Q16" s="22">
        <f t="shared" si="3"/>
        <v>420</v>
      </c>
      <c r="R16" s="20">
        <f t="shared" si="10"/>
        <v>5455</v>
      </c>
      <c r="S16" s="33">
        <f t="shared" si="4"/>
        <v>4.254262144821265</v>
      </c>
      <c r="T16" s="26">
        <f t="shared" si="5"/>
        <v>5.644240757714635</v>
      </c>
      <c r="U16" s="34">
        <f t="shared" si="6"/>
        <v>1.7708524289642529</v>
      </c>
      <c r="V16" s="4">
        <f t="shared" si="7"/>
        <v>11.669355331500151</v>
      </c>
      <c r="W16" s="123">
        <f t="shared" si="0"/>
        <v>0</v>
      </c>
      <c r="X16" s="4">
        <f t="shared" si="8"/>
        <v>11.669355331500151</v>
      </c>
      <c r="Y16" s="72">
        <f t="shared" si="9"/>
        <v>0</v>
      </c>
      <c r="Z16" s="72">
        <f>IF(X16&gt;0,X16,0)*2+IF((W16+X16)&gt;12,(W16+X16)-12,0)*2+IF((W16+X16)&gt;13,(W16+X16)-13,0)*2+IF((W16+X16)&gt;14,(W16+X16)-14,0)*2+IF((W16+X16)&gt;15,(W16+X16)-15,0)*2+IF((W16+X16)&gt;16,(W16+X16)-16,0)*2+IF((W16+X16)&gt;17,(W16+X16)-17,0)*2+IF((W16+X16)&gt;18,(W16+X16)-18,0)*2+IF((W16+X16)&gt;19,(W16+X16)-19,0)*2+IF((W16+X16)&gt;20,(W16+X16)-20,0)*2</f>
        <v>23.338710663000303</v>
      </c>
      <c r="AA16" s="11"/>
      <c r="AB16" s="11"/>
    </row>
    <row r="17" spans="1:28">
      <c r="A17" s="17" t="s">
        <v>17</v>
      </c>
      <c r="B17" s="9" t="s">
        <v>80</v>
      </c>
      <c r="C17" s="68" t="s">
        <v>140</v>
      </c>
      <c r="D17" s="20">
        <f>Konvention_1slave-MUslave</f>
        <v>5</v>
      </c>
      <c r="E17" s="21"/>
      <c r="F17" s="21"/>
      <c r="G17" s="21"/>
      <c r="H17" s="21"/>
      <c r="I17" s="21"/>
      <c r="J17" s="21">
        <f>Konvention_1slave-KOslave</f>
        <v>6</v>
      </c>
      <c r="K17" s="22"/>
      <c r="L17" s="27">
        <f>(D17+D17+J17)/3</f>
        <v>5.333333333333333</v>
      </c>
      <c r="M17" s="27">
        <f t="shared" si="1"/>
        <v>10.666666666666666</v>
      </c>
      <c r="N17" s="32">
        <f t="shared" si="2"/>
        <v>16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2996</v>
      </c>
      <c r="P17" s="11">
        <f>D17*D17*KOslave+D17*MUslave*J17+MUslave*D17*J17</f>
        <v>1165</v>
      </c>
      <c r="Q17" s="22">
        <f>IFERROR(D17^SIGN(D17),1)*IFERROR(E17^SIGN(E17),1)*IFERROR(F17^SIGN(F17),1)*IFERROR(G17^SIGN(G17),1)*IFERROR(H17^SIGN(H17),1)*IFERROR(I17^SIGN(I17),1)*IFERROR(J17^SIGN(J17),1)*IFERROR(K17^SIGN(K17),1)*IFERROR(D17^SIGN(D17),1)</f>
        <v>150</v>
      </c>
      <c r="R17" s="20">
        <f t="shared" si="10"/>
        <v>4311</v>
      </c>
      <c r="S17" s="33">
        <f t="shared" si="4"/>
        <v>3.7064872806000153</v>
      </c>
      <c r="T17" s="26">
        <f t="shared" si="5"/>
        <v>2.8825485192917344</v>
      </c>
      <c r="U17" s="34">
        <f t="shared" si="6"/>
        <v>0.55671537926235215</v>
      </c>
      <c r="V17" s="4">
        <f t="shared" si="7"/>
        <v>7.145751179154102</v>
      </c>
      <c r="W17" s="123">
        <f t="shared" si="0"/>
        <v>0</v>
      </c>
      <c r="X17" s="4">
        <f t="shared" si="8"/>
        <v>7.145751179154102</v>
      </c>
      <c r="Y17" s="72">
        <f t="shared" si="9"/>
        <v>0</v>
      </c>
      <c r="Z17" s="72">
        <f>IF(X17&gt;0,X17,0)*4+IF((W17+X17)&gt;12,(W17+X17)-12,0)*4+IF((W17+X17)&gt;13,(W17+X17)-13,0)*4+IF((W17+X17)&gt;14,(W17+X17)-14,0)*4+IF((W17+X17)&gt;15,(W17+X17)-15,0)*4+IF((W17+X17)&gt;16,(W17+X17)-16,0)*4+IF((W17+X17)&gt;17,(W17+X17)-17,0)*4+IF((W17+X17)&gt;18,(W17+X17)-18,0)*4+IF((W17+X17)&gt;19,(W17+X17)-19,0)*4+IF((W17+X17)&gt;20,(W17+X17)-20,0)*4</f>
        <v>28.583004716616408</v>
      </c>
      <c r="AA17" s="11"/>
      <c r="AB17" s="11"/>
    </row>
    <row r="18" spans="1:28">
      <c r="A18" s="17" t="s">
        <v>18</v>
      </c>
      <c r="B18" s="9" t="s">
        <v>81</v>
      </c>
      <c r="C18" s="68" t="s">
        <v>139</v>
      </c>
      <c r="D18" s="20"/>
      <c r="E18" s="21">
        <f>Konvention_1slave-KLslave</f>
        <v>5</v>
      </c>
      <c r="F18" s="21"/>
      <c r="G18" s="21">
        <f>Konvention_1slave-CHslave</f>
        <v>7</v>
      </c>
      <c r="H18" s="21"/>
      <c r="I18" s="21"/>
      <c r="J18" s="21">
        <f>Konvention_1slave-KOslave</f>
        <v>6</v>
      </c>
      <c r="K18" s="22"/>
      <c r="L18" s="27">
        <f>(D18+E18+F18+G18+H18+I18+J18+K18)/3</f>
        <v>6</v>
      </c>
      <c r="M18" s="27">
        <f t="shared" si="1"/>
        <v>12</v>
      </c>
      <c r="N18" s="32">
        <f t="shared" si="2"/>
        <v>18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3062</v>
      </c>
      <c r="P18" s="11">
        <f>E18*G18*KOslave+E18*CHslave*J18+KLslave*G18*J18</f>
        <v>1403</v>
      </c>
      <c r="Q18" s="22">
        <f t="shared" si="3"/>
        <v>210</v>
      </c>
      <c r="R18" s="20">
        <f t="shared" si="10"/>
        <v>4675</v>
      </c>
      <c r="S18" s="33">
        <f t="shared" si="4"/>
        <v>3.9298395721925132</v>
      </c>
      <c r="T18" s="26">
        <f t="shared" si="5"/>
        <v>3.6012834224598929</v>
      </c>
      <c r="U18" s="34">
        <f t="shared" si="6"/>
        <v>0.80855614973262036</v>
      </c>
      <c r="V18" s="4">
        <f t="shared" si="7"/>
        <v>8.3396791443850269</v>
      </c>
      <c r="W18" s="123">
        <f t="shared" si="0"/>
        <v>0</v>
      </c>
      <c r="X18" s="4">
        <f t="shared" si="8"/>
        <v>8.3396791443850269</v>
      </c>
      <c r="Y18" s="72">
        <f t="shared" si="9"/>
        <v>0</v>
      </c>
      <c r="Z18" s="72">
        <f>IF(X18&gt;0,X18,0)*1+IF((W18+X18)&gt;12,(W18+X18)-12,0)*1+IF((W18+X18)&gt;13,(W18+X18)-13,0)*1+IF((W18+X18)&gt;14,(W18+X18)-14,0)*1+IF((W18+X18)&gt;15,(W18+X18)-15,0)*1+IF((W18+X18)&gt;16,(W18+X18)-16,0)*1+IF((W18+X18)&gt;17,(W18+X18)-17,0)*1+IF((W18+X18)&gt;18,(W18+X18)-18,0)*1+IF((W18+X18)&gt;19,(W18+X18)-19,0)*1+IF((W18+X18)&gt;20,(W18+X18)-20,0)*1</f>
        <v>8.3396791443850269</v>
      </c>
      <c r="AA18" s="11"/>
      <c r="AB18" s="11"/>
    </row>
    <row r="19" spans="1:28">
      <c r="A19" s="17" t="s">
        <v>19</v>
      </c>
      <c r="B19" s="9" t="s">
        <v>82</v>
      </c>
      <c r="C19" s="68" t="s">
        <v>140</v>
      </c>
      <c r="D19" s="20"/>
      <c r="E19" s="21">
        <f>Konvention_1slave-KLslave</f>
        <v>5</v>
      </c>
      <c r="F19" s="21">
        <f>Konvention_1slave-INslave</f>
        <v>5</v>
      </c>
      <c r="G19" s="21"/>
      <c r="H19" s="21"/>
      <c r="I19" s="21"/>
      <c r="J19" s="21"/>
      <c r="K19" s="22"/>
      <c r="L19" s="27">
        <f>(E19+F19+F19)/3</f>
        <v>5</v>
      </c>
      <c r="M19" s="27">
        <f t="shared" si="1"/>
        <v>10</v>
      </c>
      <c r="N19" s="32">
        <f t="shared" si="2"/>
        <v>15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2940</v>
      </c>
      <c r="P19" s="11">
        <f>E19*F19*INslave+E19*INslave*F19+KLslave*F19*F19</f>
        <v>1050</v>
      </c>
      <c r="Q19" s="22">
        <f>IFERROR(D19^SIGN(D19),1)*IFERROR(E19^SIGN(E19),1)*IFERROR(F19^SIGN(F19),1)*IFERROR(G19^SIGN(G19),1)*IFERROR(H19^SIGN(H19),1)*IFERROR(I19^SIGN(I19),1)*IFERROR(J19^SIGN(J19),1)*IFERROR(K19^SIGN(K19),1)*IFERROR(F19^SIGN(F19),1)</f>
        <v>125</v>
      </c>
      <c r="R19" s="20">
        <f t="shared" si="10"/>
        <v>4115</v>
      </c>
      <c r="S19" s="33">
        <f t="shared" si="4"/>
        <v>3.5722964763061968</v>
      </c>
      <c r="T19" s="26">
        <f t="shared" si="5"/>
        <v>2.5516403402187122</v>
      </c>
      <c r="U19" s="34">
        <f t="shared" si="6"/>
        <v>0.45565006075334141</v>
      </c>
      <c r="V19" s="4">
        <f t="shared" si="7"/>
        <v>6.57958687727825</v>
      </c>
      <c r="W19" s="123">
        <f t="shared" si="0"/>
        <v>0</v>
      </c>
      <c r="X19" s="4">
        <f t="shared" si="8"/>
        <v>6.57958687727825</v>
      </c>
      <c r="Y19" s="72">
        <f t="shared" si="9"/>
        <v>0</v>
      </c>
      <c r="Z19" s="72">
        <f>IF(X19&gt;0,X19,0)*4+IF((W19+X19)&gt;12,(W19+X19)-12,0)*4+IF((W19+X19)&gt;13,(W19+X19)-13,0)*4+IF((W19+X19)&gt;14,(W19+X19)-14,0)*4+IF((W19+X19)&gt;15,(W19+X19)-15,0)*4+IF((W19+X19)&gt;16,(W19+X19)-16,0)*4+IF((W19+X19)&gt;17,(W19+X19)-17,0)*4+IF((W19+X19)&gt;18,(W19+X19)-18,0)*4+IF((W19+X19)&gt;19,(W19+X19)-19,0)*4+IF((W19+X19)&gt;20,(W19+X19)-20,0)*4</f>
        <v>26.318347509113</v>
      </c>
      <c r="AA19" s="11"/>
      <c r="AB19" s="11"/>
    </row>
    <row r="20" spans="1:28">
      <c r="A20" s="17" t="s">
        <v>20</v>
      </c>
      <c r="B20" s="9" t="s">
        <v>83</v>
      </c>
      <c r="C20" s="68" t="s">
        <v>139</v>
      </c>
      <c r="D20" s="20"/>
      <c r="E20" s="21">
        <f>Konvention_1slave-KLslave</f>
        <v>5</v>
      </c>
      <c r="F20" s="21"/>
      <c r="G20" s="21">
        <f>Konvention_1slave-CHslave</f>
        <v>7</v>
      </c>
      <c r="H20" s="21"/>
      <c r="I20" s="21">
        <f>Konvention_1slave-GEslave</f>
        <v>7</v>
      </c>
      <c r="J20" s="21"/>
      <c r="K20" s="22"/>
      <c r="L20" s="27">
        <f>(D20+E20+F20+G20+H20+I20+J20+K20)/3</f>
        <v>6.333333333333333</v>
      </c>
      <c r="M20" s="27">
        <f t="shared" si="1"/>
        <v>12.666666666666666</v>
      </c>
      <c r="N20" s="32">
        <f t="shared" si="2"/>
        <v>19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3072</v>
      </c>
      <c r="P20" s="11">
        <f>E20*G20*GEslave+E20*CHslave*I20+KLslave*G20*I20</f>
        <v>1526</v>
      </c>
      <c r="Q20" s="22">
        <f t="shared" si="3"/>
        <v>245</v>
      </c>
      <c r="R20" s="20">
        <f t="shared" si="10"/>
        <v>4843</v>
      </c>
      <c r="S20" s="33">
        <f t="shared" si="4"/>
        <v>4.0173446211026222</v>
      </c>
      <c r="T20" s="26">
        <f t="shared" si="5"/>
        <v>3.9911900337256521</v>
      </c>
      <c r="U20" s="34">
        <f t="shared" si="6"/>
        <v>0.96118108610365471</v>
      </c>
      <c r="V20" s="4">
        <f t="shared" si="7"/>
        <v>8.9697157409319281</v>
      </c>
      <c r="W20" s="123">
        <f t="shared" si="0"/>
        <v>0</v>
      </c>
      <c r="X20" s="4">
        <f t="shared" si="8"/>
        <v>8.9697157409319281</v>
      </c>
      <c r="Y20" s="72">
        <f t="shared" si="9"/>
        <v>0</v>
      </c>
      <c r="Z20" s="72">
        <f>IF(X20&gt;0,X20,0)*1+IF((W20+X20)&gt;12,(W20+X20)-12,0)*1+IF((W20+X20)&gt;13,(W20+X20)-13,0)*1+IF((W20+X20)&gt;14,(W20+X20)-14,0)*1+IF((W20+X20)&gt;15,(W20+X20)-15,0)*1+IF((W20+X20)&gt;16,(W20+X20)-16,0)*1+IF((W20+X20)&gt;17,(W20+X20)-17,0)*1+IF((W20+X20)&gt;18,(W20+X20)-18,0)*1+IF((W20+X20)&gt;19,(W20+X20)-19,0)*1+IF((W20+X20)&gt;20,(W20+X20)-20,0)*1</f>
        <v>8.9697157409319281</v>
      </c>
      <c r="AA20" s="11"/>
      <c r="AB20" s="11"/>
    </row>
    <row r="21" spans="1:28">
      <c r="A21" s="17" t="s">
        <v>21</v>
      </c>
      <c r="B21" s="9" t="s">
        <v>84</v>
      </c>
      <c r="C21" s="68" t="s">
        <v>138</v>
      </c>
      <c r="D21" s="20">
        <f>Konvention_1slave-MUslave</f>
        <v>5</v>
      </c>
      <c r="E21" s="21"/>
      <c r="F21" s="21"/>
      <c r="G21" s="21"/>
      <c r="H21" s="21">
        <f>Konvention_1slave-FFslave</f>
        <v>6</v>
      </c>
      <c r="I21" s="21">
        <f>Konvention_1slave-GEslave</f>
        <v>7</v>
      </c>
      <c r="J21" s="21"/>
      <c r="K21" s="22"/>
      <c r="L21" s="27">
        <f>(D21+E21+F21+G21+H21+I21+J21+K21)/3</f>
        <v>6</v>
      </c>
      <c r="M21" s="27">
        <f t="shared" si="1"/>
        <v>12</v>
      </c>
      <c r="N21" s="32">
        <f t="shared" si="2"/>
        <v>18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3062</v>
      </c>
      <c r="P21" s="11">
        <f>D21*H21*GEslave+D21*FFslave*I21+MUslave*H21*I21</f>
        <v>1403</v>
      </c>
      <c r="Q21" s="22">
        <f t="shared" si="3"/>
        <v>210</v>
      </c>
      <c r="R21" s="20">
        <f t="shared" si="10"/>
        <v>4675</v>
      </c>
      <c r="S21" s="33">
        <f t="shared" si="4"/>
        <v>3.9298395721925132</v>
      </c>
      <c r="T21" s="26">
        <f t="shared" si="5"/>
        <v>3.6012834224598929</v>
      </c>
      <c r="U21" s="34">
        <f t="shared" si="6"/>
        <v>0.80855614973262036</v>
      </c>
      <c r="V21" s="4">
        <f t="shared" si="7"/>
        <v>8.3396791443850269</v>
      </c>
      <c r="W21" s="123">
        <f t="shared" si="0"/>
        <v>0</v>
      </c>
      <c r="X21" s="4">
        <f t="shared" si="8"/>
        <v>8.3396791443850269</v>
      </c>
      <c r="Y21" s="72">
        <f t="shared" si="9"/>
        <v>0</v>
      </c>
      <c r="Z21" s="72">
        <f>IF(X21&gt;0,X21,0)*2+IF((W21+X21)&gt;12,(W21+X21)-12,0)*2+IF((W21+X21)&gt;13,(W21+X21)-13,0)*2+IF((W21+X21)&gt;14,(W21+X21)-14,0)*2+IF((W21+X21)&gt;15,(W21+X21)-15,0)*2+IF((W21+X21)&gt;16,(W21+X21)-16,0)*2+IF((W21+X21)&gt;17,(W21+X21)-17,0)*2+IF((W21+X21)&gt;18,(W21+X21)-18,0)*2+IF((W21+X21)&gt;19,(W21+X21)-19,0)*2+IF((W21+X21)&gt;20,(W21+X21)-20,0)*2</f>
        <v>16.679358288770054</v>
      </c>
      <c r="AA21" s="11"/>
      <c r="AB21" s="11"/>
    </row>
    <row r="22" spans="1:28">
      <c r="A22" s="17" t="s">
        <v>22</v>
      </c>
      <c r="B22" s="9" t="s">
        <v>9</v>
      </c>
      <c r="C22" s="68" t="s">
        <v>141</v>
      </c>
      <c r="D22" s="20">
        <f>Konvention_1slave-MUslave</f>
        <v>5</v>
      </c>
      <c r="E22" s="21"/>
      <c r="F22" s="21">
        <f>Konvention_1slave-INslave</f>
        <v>5</v>
      </c>
      <c r="G22" s="21"/>
      <c r="H22" s="21"/>
      <c r="I22" s="21">
        <f>Konvention_1slave-GEslave</f>
        <v>7</v>
      </c>
      <c r="J22" s="21"/>
      <c r="K22" s="22"/>
      <c r="L22" s="27">
        <f>(D22+E22+F22+G22+H22+I22+J22+K22)/3</f>
        <v>5.666666666666667</v>
      </c>
      <c r="M22" s="27">
        <f t="shared" si="1"/>
        <v>11.333333333333334</v>
      </c>
      <c r="N22" s="32">
        <f t="shared" si="2"/>
        <v>17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3052</v>
      </c>
      <c r="P22" s="11">
        <f>D22*F22*GEslave+D22*INslave*I22+MUslave*F22*I22</f>
        <v>1280</v>
      </c>
      <c r="Q22" s="22">
        <f t="shared" si="3"/>
        <v>175</v>
      </c>
      <c r="R22" s="20">
        <f t="shared" si="10"/>
        <v>4507</v>
      </c>
      <c r="S22" s="33">
        <f t="shared" si="4"/>
        <v>3.8372901412617413</v>
      </c>
      <c r="T22" s="26">
        <f t="shared" si="5"/>
        <v>3.2186968419495603</v>
      </c>
      <c r="U22" s="34">
        <f t="shared" si="6"/>
        <v>0.66008431329043715</v>
      </c>
      <c r="V22" s="4">
        <f t="shared" si="7"/>
        <v>7.7160712965017391</v>
      </c>
      <c r="W22" s="123">
        <f t="shared" si="0"/>
        <v>0</v>
      </c>
      <c r="X22" s="4">
        <f t="shared" si="8"/>
        <v>7.7160712965017391</v>
      </c>
      <c r="Y22" s="72">
        <f t="shared" si="9"/>
        <v>0</v>
      </c>
      <c r="Z22" s="72">
        <f>IF(X22&gt;0,X22,0)*3+IF((W22+X22)&gt;12,(W22+X22)-12,0)*3+IF((W22+X22)&gt;13,(W22+X22)-13,0)*3+IF((W22+X22)&gt;14,(W22+X22)-14,0)*3+IF((W22+X22)&gt;15,(W22+X22)-15,0)*3+IF((W22+X22)&gt;16,(W22+X22)-16,0)*3+IF((W22+X22)&gt;17,(W22+X22)-17,0)*3+IF((W22+X22)&gt;18,(W22+X22)-18,0)*3+IF((W22+X22)&gt;19,(W22+X22)-19,0)*3+IF((W22+X22)&gt;20,(W22+X22)-20,0)*3</f>
        <v>23.148213889505218</v>
      </c>
      <c r="AA22" s="11"/>
      <c r="AB22" s="11"/>
    </row>
    <row r="23" spans="1:28" ht="15.75" thickBot="1">
      <c r="A23" s="35" t="s">
        <v>23</v>
      </c>
      <c r="B23" s="10" t="s">
        <v>85</v>
      </c>
      <c r="C23" s="59" t="s">
        <v>139</v>
      </c>
      <c r="D23" s="24"/>
      <c r="E23" s="19">
        <f>Konvention_1slave-KLslave</f>
        <v>5</v>
      </c>
      <c r="F23" s="19"/>
      <c r="G23" s="19"/>
      <c r="H23" s="19"/>
      <c r="I23" s="19"/>
      <c r="J23" s="19">
        <f>Konvention_1slave-KOslave</f>
        <v>6</v>
      </c>
      <c r="K23" s="23">
        <f>Konvention_1slave-KKslave</f>
        <v>10</v>
      </c>
      <c r="L23" s="25">
        <f>(D23+E23+F23+G23+H23+I23+J23+K23)/3</f>
        <v>7</v>
      </c>
      <c r="M23" s="25">
        <f t="shared" si="1"/>
        <v>14</v>
      </c>
      <c r="N23" s="36">
        <f t="shared" si="2"/>
        <v>21</v>
      </c>
      <c r="O23" s="19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3161</v>
      </c>
      <c r="P23" s="19">
        <f>E23*J23*KKslave+E23*KOslave*K23+KLslave*J23*K23</f>
        <v>1760</v>
      </c>
      <c r="Q23" s="23">
        <f t="shared" si="3"/>
        <v>300</v>
      </c>
      <c r="R23" s="24">
        <f>SUM(O23:Q23)</f>
        <v>5221</v>
      </c>
      <c r="S23" s="37">
        <f t="shared" si="4"/>
        <v>4.2380769967439189</v>
      </c>
      <c r="T23" s="25">
        <f t="shared" si="5"/>
        <v>4.7194024133307799</v>
      </c>
      <c r="U23" s="38">
        <f t="shared" si="6"/>
        <v>1.2066653897720743</v>
      </c>
      <c r="V23" s="5">
        <f t="shared" si="7"/>
        <v>10.164144799846774</v>
      </c>
      <c r="W23" s="123">
        <f t="shared" si="0"/>
        <v>0</v>
      </c>
      <c r="X23" s="5">
        <f t="shared" si="8"/>
        <v>10.164144799846774</v>
      </c>
      <c r="Y23" s="73">
        <f t="shared" si="9"/>
        <v>0</v>
      </c>
      <c r="Z23" s="73">
        <f>IF(X23&gt;0,X23,0)*1+IF((W23+X23)&gt;12,(W23+X23)-12,0)*1+IF((W23+X23)&gt;13,(W23+X23)-13,0)*1+IF((W23+X23)&gt;14,(W23+X23)-14,0)*1+IF((W23+X23)&gt;15,(W23+X23)-15,0)*1+IF((W23+X23)&gt;16,(W23+X23)-16,0)*1+IF((W23+X23)&gt;17,(W23+X23)-17,0)*1+IF((W23+X23)&gt;18,(W23+X23)-18,0)*1+IF((W23+X23)&gt;19,(W23+X23)-19,0)*1+IF((W23+X23)&gt;20,(W23+X23)-20,0)*1</f>
        <v>10.164144799846774</v>
      </c>
      <c r="AA23" s="11"/>
      <c r="AB23" s="11"/>
    </row>
    <row r="24" spans="1:28" ht="15.75" thickBot="1">
      <c r="A24" s="6" t="s">
        <v>70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39"/>
      <c r="O24" s="19"/>
      <c r="P24" s="19"/>
      <c r="Q24" s="19"/>
      <c r="R24" s="19"/>
      <c r="S24" s="26"/>
      <c r="T24" s="26"/>
      <c r="U24" s="26"/>
      <c r="V24" s="15"/>
      <c r="W24" s="81"/>
      <c r="X24" s="2"/>
      <c r="Y24" s="26"/>
      <c r="Z24" s="27"/>
      <c r="AA24" s="11"/>
      <c r="AB24" s="11"/>
    </row>
    <row r="25" spans="1:28">
      <c r="A25" s="17" t="s">
        <v>24</v>
      </c>
      <c r="B25" s="8" t="s">
        <v>86</v>
      </c>
      <c r="C25" s="64" t="s">
        <v>138</v>
      </c>
      <c r="D25" s="60">
        <f>Konvention_1slave-MUslave</f>
        <v>5</v>
      </c>
      <c r="E25" s="61">
        <f>Konvention_1slave-KLslave</f>
        <v>5</v>
      </c>
      <c r="F25" s="61"/>
      <c r="G25" s="61">
        <f t="shared" ref="G25:G33" si="11">Konvention_1slave-CHslave</f>
        <v>7</v>
      </c>
      <c r="H25" s="61"/>
      <c r="I25" s="61"/>
      <c r="J25" s="61"/>
      <c r="K25" s="62"/>
      <c r="L25" s="27">
        <f>(D25+E25+F25+G25+H25+I25+J25+K25)/3</f>
        <v>5.666666666666667</v>
      </c>
      <c r="M25" s="27">
        <f t="shared" si="1"/>
        <v>11.333333333333334</v>
      </c>
      <c r="N25" s="28">
        <f t="shared" si="2"/>
        <v>17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3052</v>
      </c>
      <c r="P25" s="11">
        <f>D25*E25*CHslave+D25*KLslave*G25+MUslave*E25*G25</f>
        <v>1280</v>
      </c>
      <c r="Q25" s="62">
        <f t="shared" si="3"/>
        <v>175</v>
      </c>
      <c r="R25" s="60">
        <f>SUM(O25:Q25)</f>
        <v>4507</v>
      </c>
      <c r="S25" s="29">
        <f t="shared" si="4"/>
        <v>3.8372901412617413</v>
      </c>
      <c r="T25" s="30">
        <f t="shared" si="5"/>
        <v>3.2186968419495603</v>
      </c>
      <c r="U25" s="31">
        <f t="shared" si="6"/>
        <v>0.66008431329043715</v>
      </c>
      <c r="V25" s="12">
        <f t="shared" si="7"/>
        <v>7.7160712965017391</v>
      </c>
      <c r="W25" s="123">
        <f t="shared" ref="W25:W33" si="12">Istwerte</f>
        <v>0</v>
      </c>
      <c r="X25" s="3">
        <f t="shared" si="8"/>
        <v>7.7160712965017391</v>
      </c>
      <c r="Y25" s="71">
        <f t="shared" si="9"/>
        <v>0</v>
      </c>
      <c r="Z25" s="71">
        <f>IF(X25&gt;0,X25,0)*2+IF((W25+X25)&gt;12,(W25+X25)-12,0)*2+IF((W25+X25)&gt;13,(W25+X25)-13,0)*2+IF((W25+X25)&gt;14,(W25+X25)-14,0)*2+IF((W25+X25)&gt;15,(W25+X25)-15,0)*2+IF((W25+X25)&gt;16,(W25+X25)-16,0)*2+IF((W25+X25)&gt;17,(W25+X25)-17,0)*2+IF((W25+X25)&gt;18,(W25+X25)-18,0)*2+IF((W25+X25)&gt;19,(W25+X25)-19,0)*2+IF((W25+X25)&gt;20,(W25+X25)-20,0)*2</f>
        <v>15.432142593003478</v>
      </c>
      <c r="AA25" s="11"/>
      <c r="AB25" s="11"/>
    </row>
    <row r="26" spans="1:28">
      <c r="A26" s="17" t="s">
        <v>25</v>
      </c>
      <c r="B26" s="9" t="s">
        <v>87</v>
      </c>
      <c r="C26" s="68" t="s">
        <v>138</v>
      </c>
      <c r="D26" s="20">
        <f>Konvention_1slave-MUslave</f>
        <v>5</v>
      </c>
      <c r="E26" s="21"/>
      <c r="F26" s="21"/>
      <c r="G26" s="21">
        <f t="shared" si="11"/>
        <v>7</v>
      </c>
      <c r="H26" s="21"/>
      <c r="I26" s="21"/>
      <c r="J26" s="21"/>
      <c r="K26" s="22"/>
      <c r="L26" s="27">
        <f>(D26+G26+G26)/3</f>
        <v>6.333333333333333</v>
      </c>
      <c r="M26" s="27">
        <f t="shared" si="1"/>
        <v>12.666666666666666</v>
      </c>
      <c r="N26" s="32">
        <f t="shared" si="2"/>
        <v>19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3072</v>
      </c>
      <c r="P26" s="11">
        <f>D26*G26*CHslave+D26*CHslave*G26+MUslave*G26*G26</f>
        <v>1526</v>
      </c>
      <c r="Q26" s="22">
        <f>IFERROR(D26^SIGN(D26),1)*IFERROR(E26^SIGN(E26),1)*IFERROR(F26^SIGN(F26),1)*IFERROR(G26^SIGN(G26),1)*IFERROR(H26^SIGN(H26),1)*IFERROR(I26^SIGN(I26),1)*IFERROR(J26^SIGN(J26),1)*IFERROR(K26^SIGN(K26),1)*IFERROR(G26^SIGN(G26),1)</f>
        <v>245</v>
      </c>
      <c r="R26" s="20">
        <f t="shared" ref="R26:R32" si="13">SUM(O26:Q26)</f>
        <v>4843</v>
      </c>
      <c r="S26" s="33">
        <f t="shared" si="4"/>
        <v>4.0173446211026222</v>
      </c>
      <c r="T26" s="26">
        <f t="shared" si="5"/>
        <v>3.9911900337256521</v>
      </c>
      <c r="U26" s="34">
        <f t="shared" si="6"/>
        <v>0.96118108610365471</v>
      </c>
      <c r="V26" s="13">
        <f t="shared" si="7"/>
        <v>8.9697157409319281</v>
      </c>
      <c r="W26" s="123">
        <f t="shared" si="12"/>
        <v>0</v>
      </c>
      <c r="X26" s="4">
        <f t="shared" si="8"/>
        <v>8.9697157409319281</v>
      </c>
      <c r="Y26" s="72">
        <f t="shared" si="9"/>
        <v>0</v>
      </c>
      <c r="Z26" s="72">
        <f>IF(X26&gt;0,X26,0)*2+IF((W26+X26)&gt;12,(W26+X26)-12,0)*2+IF((W26+X26)&gt;13,(W26+X26)-13,0)*2+IF((W26+X26)&gt;14,(W26+X26)-14,0)*2+IF((W26+X26)&gt;15,(W26+X26)-15,0)*2+IF((W26+X26)&gt;16,(W26+X26)-16,0)*2+IF((W26+X26)&gt;17,(W26+X26)-17,0)*2+IF((W26+X26)&gt;18,(W26+X26)-18,0)*2+IF((W26+X26)&gt;19,(W26+X26)-19,0)*2+IF((W26+X26)&gt;20,(W26+X26)-20,0)*2</f>
        <v>17.939431481863856</v>
      </c>
      <c r="AA26" s="11"/>
      <c r="AB26" s="11"/>
    </row>
    <row r="27" spans="1:28">
      <c r="A27" s="17" t="s">
        <v>26</v>
      </c>
      <c r="B27" s="9" t="s">
        <v>88</v>
      </c>
      <c r="C27" s="68" t="s">
        <v>138</v>
      </c>
      <c r="D27" s="20">
        <f>Konvention_1slave-MUslave</f>
        <v>5</v>
      </c>
      <c r="E27" s="21"/>
      <c r="F27" s="21">
        <f t="shared" ref="F27:F33" si="14">Konvention_1slave-INslave</f>
        <v>5</v>
      </c>
      <c r="G27" s="21">
        <f t="shared" si="11"/>
        <v>7</v>
      </c>
      <c r="H27" s="21"/>
      <c r="I27" s="21"/>
      <c r="J27" s="21"/>
      <c r="K27" s="22"/>
      <c r="L27" s="27">
        <f t="shared" ref="L27:L33" si="15">(D27+E27+F27+G27+H27+I27+J27+K27)/3</f>
        <v>5.666666666666667</v>
      </c>
      <c r="M27" s="27">
        <f t="shared" si="1"/>
        <v>11.333333333333334</v>
      </c>
      <c r="N27" s="32">
        <f t="shared" si="2"/>
        <v>17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3052</v>
      </c>
      <c r="P27" s="11">
        <f>D27*F27*CHslave+D27*INslave*G27+MUslave*F27*G27</f>
        <v>1280</v>
      </c>
      <c r="Q27" s="22">
        <f t="shared" si="3"/>
        <v>175</v>
      </c>
      <c r="R27" s="20">
        <f t="shared" si="13"/>
        <v>4507</v>
      </c>
      <c r="S27" s="33">
        <f t="shared" si="4"/>
        <v>3.8372901412617413</v>
      </c>
      <c r="T27" s="26">
        <f t="shared" si="5"/>
        <v>3.2186968419495603</v>
      </c>
      <c r="U27" s="34">
        <f t="shared" si="6"/>
        <v>0.66008431329043715</v>
      </c>
      <c r="V27" s="13">
        <f t="shared" si="7"/>
        <v>7.7160712965017391</v>
      </c>
      <c r="W27" s="123">
        <f t="shared" si="12"/>
        <v>0</v>
      </c>
      <c r="X27" s="4">
        <f t="shared" si="8"/>
        <v>7.7160712965017391</v>
      </c>
      <c r="Y27" s="72">
        <f t="shared" si="9"/>
        <v>0</v>
      </c>
      <c r="Z27" s="72">
        <f>IF(X27&gt;0,X27,0)*2+IF((W27+X27)&gt;12,(W27+X27)-12,0)*2+IF((W27+X27)&gt;13,(W27+X27)-13,0)*2+IF((W27+X27)&gt;14,(W27+X27)-14,0)*2+IF((W27+X27)&gt;15,(W27+X27)-15,0)*2+IF((W27+X27)&gt;16,(W27+X27)-16,0)*2+IF((W27+X27)&gt;17,(W27+X27)-17,0)*2+IF((W27+X27)&gt;18,(W27+X27)-18,0)*2+IF((W27+X27)&gt;19,(W27+X27)-19,0)*2+IF((W27+X27)&gt;20,(W27+X27)-20,0)*2</f>
        <v>15.432142593003478</v>
      </c>
      <c r="AA27" s="11"/>
      <c r="AB27" s="11"/>
    </row>
    <row r="28" spans="1:28">
      <c r="A28" s="17" t="s">
        <v>27</v>
      </c>
      <c r="B28" s="9" t="s">
        <v>89</v>
      </c>
      <c r="C28" s="68" t="s">
        <v>138</v>
      </c>
      <c r="D28" s="20"/>
      <c r="E28" s="21">
        <f>Konvention_1slave-KLslave</f>
        <v>5</v>
      </c>
      <c r="F28" s="21">
        <f t="shared" si="14"/>
        <v>5</v>
      </c>
      <c r="G28" s="21">
        <f t="shared" si="11"/>
        <v>7</v>
      </c>
      <c r="H28" s="21"/>
      <c r="I28" s="21"/>
      <c r="J28" s="21"/>
      <c r="K28" s="22"/>
      <c r="L28" s="27">
        <f t="shared" si="15"/>
        <v>5.666666666666667</v>
      </c>
      <c r="M28" s="27">
        <f t="shared" si="1"/>
        <v>11.333333333333334</v>
      </c>
      <c r="N28" s="32">
        <f t="shared" si="2"/>
        <v>17</v>
      </c>
      <c r="O28" s="11">
        <f t="shared" si="16"/>
        <v>3052</v>
      </c>
      <c r="P28" s="11">
        <f>E28*F28*CHslave+E28*INslave*G28+KLslave*F28*G28</f>
        <v>1280</v>
      </c>
      <c r="Q28" s="22">
        <f t="shared" si="3"/>
        <v>175</v>
      </c>
      <c r="R28" s="20">
        <f t="shared" si="13"/>
        <v>4507</v>
      </c>
      <c r="S28" s="33">
        <f t="shared" si="4"/>
        <v>3.8372901412617413</v>
      </c>
      <c r="T28" s="26">
        <f t="shared" si="5"/>
        <v>3.2186968419495603</v>
      </c>
      <c r="U28" s="34">
        <f t="shared" si="6"/>
        <v>0.66008431329043715</v>
      </c>
      <c r="V28" s="13">
        <f t="shared" si="7"/>
        <v>7.7160712965017391</v>
      </c>
      <c r="W28" s="123">
        <f t="shared" si="12"/>
        <v>0</v>
      </c>
      <c r="X28" s="4">
        <f t="shared" si="8"/>
        <v>7.7160712965017391</v>
      </c>
      <c r="Y28" s="72">
        <f t="shared" si="9"/>
        <v>0</v>
      </c>
      <c r="Z28" s="72">
        <f>IF(X28&gt;0,X28,0)*2+IF((W28+X28)&gt;12,(W28+X28)-12,0)*2+IF((W28+X28)&gt;13,(W28+X28)-13,0)*2+IF((W28+X28)&gt;14,(W28+X28)-14,0)*2+IF((W28+X28)&gt;15,(W28+X28)-15,0)*2+IF((W28+X28)&gt;16,(W28+X28)-16,0)*2+IF((W28+X28)&gt;17,(W28+X28)-17,0)*2+IF((W28+X28)&gt;18,(W28+X28)-18,0)*2+IF((W28+X28)&gt;19,(W28+X28)-19,0)*2+IF((W28+X28)&gt;20,(W28+X28)-20,0)*2</f>
        <v>15.432142593003478</v>
      </c>
      <c r="AA28" s="11"/>
      <c r="AB28" s="11"/>
    </row>
    <row r="29" spans="1:28">
      <c r="A29" s="17" t="s">
        <v>28</v>
      </c>
      <c r="B29" s="9" t="s">
        <v>89</v>
      </c>
      <c r="C29" s="68" t="s">
        <v>141</v>
      </c>
      <c r="D29" s="20"/>
      <c r="E29" s="21">
        <f>Konvention_1slave-KLslave</f>
        <v>5</v>
      </c>
      <c r="F29" s="21">
        <f t="shared" si="14"/>
        <v>5</v>
      </c>
      <c r="G29" s="21">
        <f t="shared" si="11"/>
        <v>7</v>
      </c>
      <c r="H29" s="21"/>
      <c r="I29" s="21"/>
      <c r="J29" s="21"/>
      <c r="K29" s="22"/>
      <c r="L29" s="27">
        <f t="shared" si="15"/>
        <v>5.666666666666667</v>
      </c>
      <c r="M29" s="27">
        <f t="shared" si="1"/>
        <v>11.333333333333334</v>
      </c>
      <c r="N29" s="32">
        <f t="shared" si="2"/>
        <v>17</v>
      </c>
      <c r="O29" s="11">
        <f t="shared" si="16"/>
        <v>3052</v>
      </c>
      <c r="P29" s="11">
        <f>E29*F29*CHslave+E29*INslave*G29+KLslave*F29*G29</f>
        <v>1280</v>
      </c>
      <c r="Q29" s="22">
        <f t="shared" si="3"/>
        <v>175</v>
      </c>
      <c r="R29" s="20">
        <f t="shared" si="13"/>
        <v>4507</v>
      </c>
      <c r="S29" s="33">
        <f t="shared" si="4"/>
        <v>3.8372901412617413</v>
      </c>
      <c r="T29" s="26">
        <f t="shared" si="5"/>
        <v>3.2186968419495603</v>
      </c>
      <c r="U29" s="34">
        <f t="shared" si="6"/>
        <v>0.66008431329043715</v>
      </c>
      <c r="V29" s="13">
        <f t="shared" si="7"/>
        <v>7.7160712965017391</v>
      </c>
      <c r="W29" s="123">
        <f t="shared" si="12"/>
        <v>0</v>
      </c>
      <c r="X29" s="4">
        <f t="shared" si="8"/>
        <v>7.7160712965017391</v>
      </c>
      <c r="Y29" s="72">
        <f t="shared" si="9"/>
        <v>0</v>
      </c>
      <c r="Z29" s="72">
        <f>IF(X29&gt;0,X29,0)*3+IF((W29+X29)&gt;12,(W29+X29)-12,0)*3+IF((W29+X29)&gt;13,(W29+X29)-13,0)*3+IF((W29+X29)&gt;14,(W29+X29)-14,0)*3+IF((W29+X29)&gt;15,(W29+X29)-15,0)*3+IF((W29+X29)&gt;16,(W29+X29)-16,0)*3+IF((W29+X29)&gt;17,(W29+X29)-17,0)*3+IF((W29+X29)&gt;18,(W29+X29)-18,0)*3+IF((W29+X29)&gt;19,(W29+X29)-19,0)*3+IF((W29+X29)&gt;20,(W29+X29)-20,0)*3</f>
        <v>23.148213889505218</v>
      </c>
      <c r="AA29" s="11"/>
      <c r="AB29" s="11"/>
    </row>
    <row r="30" spans="1:28">
      <c r="A30" s="17" t="s">
        <v>29</v>
      </c>
      <c r="B30" s="9" t="s">
        <v>89</v>
      </c>
      <c r="C30" s="68" t="s">
        <v>141</v>
      </c>
      <c r="D30" s="20"/>
      <c r="E30" s="21">
        <f>Konvention_1slave-KLslave</f>
        <v>5</v>
      </c>
      <c r="F30" s="21">
        <f t="shared" si="14"/>
        <v>5</v>
      </c>
      <c r="G30" s="21">
        <f t="shared" si="11"/>
        <v>7</v>
      </c>
      <c r="H30" s="21"/>
      <c r="I30" s="21"/>
      <c r="J30" s="21"/>
      <c r="K30" s="22"/>
      <c r="L30" s="27">
        <f t="shared" si="15"/>
        <v>5.666666666666667</v>
      </c>
      <c r="M30" s="27">
        <f t="shared" si="1"/>
        <v>11.333333333333334</v>
      </c>
      <c r="N30" s="32">
        <f t="shared" si="2"/>
        <v>17</v>
      </c>
      <c r="O30" s="11">
        <f t="shared" si="16"/>
        <v>3052</v>
      </c>
      <c r="P30" s="11">
        <f>E30*F30*CHslave+E30*INslave*G30+KLslave*F30*G30</f>
        <v>1280</v>
      </c>
      <c r="Q30" s="22">
        <f t="shared" si="3"/>
        <v>175</v>
      </c>
      <c r="R30" s="20">
        <f t="shared" si="13"/>
        <v>4507</v>
      </c>
      <c r="S30" s="33">
        <f t="shared" si="4"/>
        <v>3.8372901412617413</v>
      </c>
      <c r="T30" s="26">
        <f t="shared" si="5"/>
        <v>3.2186968419495603</v>
      </c>
      <c r="U30" s="34">
        <f t="shared" si="6"/>
        <v>0.66008431329043715</v>
      </c>
      <c r="V30" s="13">
        <f t="shared" si="7"/>
        <v>7.7160712965017391</v>
      </c>
      <c r="W30" s="123">
        <f t="shared" si="12"/>
        <v>0</v>
      </c>
      <c r="X30" s="4">
        <f t="shared" si="8"/>
        <v>7.7160712965017391</v>
      </c>
      <c r="Y30" s="72">
        <f t="shared" si="9"/>
        <v>0</v>
      </c>
      <c r="Z30" s="72">
        <f>IF(X30&gt;0,X30,0)*3+IF((W30+X30)&gt;12,(W30+X30)-12,0)*3+IF((W30+X30)&gt;13,(W30+X30)-13,0)*3+IF((W30+X30)&gt;14,(W30+X30)-14,0)*3+IF((W30+X30)&gt;15,(W30+X30)-15,0)*3+IF((W30+X30)&gt;16,(W30+X30)-16,0)*3+IF((W30+X30)&gt;17,(W30+X30)-17,0)*3+IF((W30+X30)&gt;18,(W30+X30)-18,0)*3+IF((W30+X30)&gt;19,(W30+X30)-19,0)*3+IF((W30+X30)&gt;20,(W30+X30)-20,0)*3</f>
        <v>23.148213889505218</v>
      </c>
      <c r="AA30" s="11"/>
      <c r="AB30" s="11"/>
    </row>
    <row r="31" spans="1:28">
      <c r="A31" s="17" t="s">
        <v>30</v>
      </c>
      <c r="B31" s="9" t="s">
        <v>88</v>
      </c>
      <c r="C31" s="68" t="s">
        <v>141</v>
      </c>
      <c r="D31" s="20">
        <f>Konvention_1slave-MUslave</f>
        <v>5</v>
      </c>
      <c r="E31" s="21"/>
      <c r="F31" s="21">
        <f t="shared" si="14"/>
        <v>5</v>
      </c>
      <c r="G31" s="21">
        <f t="shared" si="11"/>
        <v>7</v>
      </c>
      <c r="H31" s="21"/>
      <c r="I31" s="21"/>
      <c r="J31" s="21"/>
      <c r="K31" s="22"/>
      <c r="L31" s="27">
        <f t="shared" si="15"/>
        <v>5.666666666666667</v>
      </c>
      <c r="M31" s="27">
        <f t="shared" si="1"/>
        <v>11.333333333333334</v>
      </c>
      <c r="N31" s="32">
        <f t="shared" si="2"/>
        <v>17</v>
      </c>
      <c r="O31" s="11">
        <f t="shared" si="16"/>
        <v>3052</v>
      </c>
      <c r="P31" s="11">
        <f>D31*F31*CHslave+D31*INslave*G31+MUslave*F31*G31</f>
        <v>1280</v>
      </c>
      <c r="Q31" s="22">
        <f t="shared" si="3"/>
        <v>175</v>
      </c>
      <c r="R31" s="20">
        <f t="shared" si="13"/>
        <v>4507</v>
      </c>
      <c r="S31" s="33">
        <f t="shared" si="4"/>
        <v>3.8372901412617413</v>
      </c>
      <c r="T31" s="26">
        <f t="shared" si="5"/>
        <v>3.2186968419495603</v>
      </c>
      <c r="U31" s="34">
        <f t="shared" si="6"/>
        <v>0.66008431329043715</v>
      </c>
      <c r="V31" s="13">
        <f t="shared" si="7"/>
        <v>7.7160712965017391</v>
      </c>
      <c r="W31" s="123">
        <f t="shared" si="12"/>
        <v>0</v>
      </c>
      <c r="X31" s="4">
        <f t="shared" si="8"/>
        <v>7.7160712965017391</v>
      </c>
      <c r="Y31" s="72">
        <f t="shared" si="9"/>
        <v>0</v>
      </c>
      <c r="Z31" s="72">
        <f>IF(X31&gt;0,X31,0)*3+IF((W31+X31)&gt;12,(W31+X31)-12,0)*3+IF((W31+X31)&gt;13,(W31+X31)-13,0)*3+IF((W31+X31)&gt;14,(W31+X31)-14,0)*3+IF((W31+X31)&gt;15,(W31+X31)-15,0)*3+IF((W31+X31)&gt;16,(W31+X31)-16,0)*3+IF((W31+X31)&gt;17,(W31+X31)-17,0)*3+IF((W31+X31)&gt;18,(W31+X31)-18,0)*3+IF((W31+X31)&gt;19,(W31+X31)-19,0)*3+IF((W31+X31)&gt;20,(W31+X31)-20,0)*3</f>
        <v>23.148213889505218</v>
      </c>
      <c r="AA31" s="11"/>
      <c r="AB31" s="11"/>
    </row>
    <row r="32" spans="1:28">
      <c r="A32" s="17" t="s">
        <v>31</v>
      </c>
      <c r="B32" s="9" t="s">
        <v>90</v>
      </c>
      <c r="C32" s="68" t="s">
        <v>138</v>
      </c>
      <c r="D32" s="20"/>
      <c r="E32" s="21"/>
      <c r="F32" s="21">
        <f t="shared" si="14"/>
        <v>5</v>
      </c>
      <c r="G32" s="21">
        <f t="shared" si="11"/>
        <v>7</v>
      </c>
      <c r="H32" s="21"/>
      <c r="I32" s="21">
        <f>Konvention_1slave-GEslave</f>
        <v>7</v>
      </c>
      <c r="J32" s="21"/>
      <c r="K32" s="22"/>
      <c r="L32" s="27">
        <f t="shared" si="15"/>
        <v>6.333333333333333</v>
      </c>
      <c r="M32" s="27">
        <f t="shared" si="1"/>
        <v>12.666666666666666</v>
      </c>
      <c r="N32" s="32">
        <f t="shared" si="2"/>
        <v>19</v>
      </c>
      <c r="O32" s="11">
        <f t="shared" si="16"/>
        <v>3072</v>
      </c>
      <c r="P32" s="11">
        <f>F32*G32*GEslave+F32*CHslave*I32+INslave*G32*I32</f>
        <v>1526</v>
      </c>
      <c r="Q32" s="22">
        <f t="shared" si="3"/>
        <v>245</v>
      </c>
      <c r="R32" s="20">
        <f t="shared" si="13"/>
        <v>4843</v>
      </c>
      <c r="S32" s="33">
        <f t="shared" si="4"/>
        <v>4.0173446211026222</v>
      </c>
      <c r="T32" s="26">
        <f t="shared" si="5"/>
        <v>3.9911900337256521</v>
      </c>
      <c r="U32" s="34">
        <f t="shared" si="6"/>
        <v>0.96118108610365471</v>
      </c>
      <c r="V32" s="13">
        <f t="shared" si="7"/>
        <v>8.9697157409319281</v>
      </c>
      <c r="W32" s="123">
        <f t="shared" si="12"/>
        <v>0</v>
      </c>
      <c r="X32" s="4">
        <f t="shared" si="8"/>
        <v>8.9697157409319281</v>
      </c>
      <c r="Y32" s="72">
        <f t="shared" si="9"/>
        <v>0</v>
      </c>
      <c r="Z32" s="72">
        <f>IF(X32&gt;0,X32,0)*2+IF((W32+X32)&gt;12,(W32+X32)-12,0)*2+IF((W32+X32)&gt;13,(W32+X32)-13,0)*2+IF((W32+X32)&gt;14,(W32+X32)-14,0)*2+IF((W32+X32)&gt;15,(W32+X32)-15,0)*2+IF((W32+X32)&gt;16,(W32+X32)-16,0)*2+IF((W32+X32)&gt;17,(W32+X32)-17,0)*2+IF((W32+X32)&gt;18,(W32+X32)-18,0)*2+IF((W32+X32)&gt;19,(W32+X32)-19,0)*2+IF((W32+X32)&gt;20,(W32+X32)-20,0)*2</f>
        <v>17.939431481863856</v>
      </c>
      <c r="AA32" s="11"/>
      <c r="AB32" s="11"/>
    </row>
    <row r="33" spans="1:28" ht="15.75" thickBot="1">
      <c r="A33" s="17" t="s">
        <v>38</v>
      </c>
      <c r="B33" s="10" t="s">
        <v>88</v>
      </c>
      <c r="C33" s="59" t="s">
        <v>140</v>
      </c>
      <c r="D33" s="24">
        <f>Konvention_1slave-MUslave</f>
        <v>5</v>
      </c>
      <c r="E33" s="19"/>
      <c r="F33" s="19">
        <f t="shared" si="14"/>
        <v>5</v>
      </c>
      <c r="G33" s="19">
        <f t="shared" si="11"/>
        <v>7</v>
      </c>
      <c r="H33" s="19"/>
      <c r="I33" s="19"/>
      <c r="J33" s="19"/>
      <c r="K33" s="23"/>
      <c r="L33" s="37">
        <f t="shared" si="15"/>
        <v>5.666666666666667</v>
      </c>
      <c r="M33" s="25">
        <f t="shared" si="1"/>
        <v>11.333333333333334</v>
      </c>
      <c r="N33" s="36">
        <f t="shared" si="2"/>
        <v>17</v>
      </c>
      <c r="O33" s="19">
        <f t="shared" si="16"/>
        <v>3052</v>
      </c>
      <c r="P33" s="19">
        <f>D33*F33*CHslave+D33*INslave*G33+MUslave*F33*G33</f>
        <v>1280</v>
      </c>
      <c r="Q33" s="23">
        <f t="shared" si="3"/>
        <v>175</v>
      </c>
      <c r="R33" s="24">
        <f>SUM(O33:Q33)</f>
        <v>4507</v>
      </c>
      <c r="S33" s="37">
        <f t="shared" si="4"/>
        <v>3.8372901412617413</v>
      </c>
      <c r="T33" s="25">
        <f t="shared" si="5"/>
        <v>3.2186968419495603</v>
      </c>
      <c r="U33" s="38">
        <f t="shared" si="6"/>
        <v>0.66008431329043715</v>
      </c>
      <c r="V33" s="14">
        <f t="shared" si="7"/>
        <v>7.7160712965017391</v>
      </c>
      <c r="W33" s="123">
        <f t="shared" si="12"/>
        <v>0</v>
      </c>
      <c r="X33" s="5">
        <f t="shared" si="8"/>
        <v>7.7160712965017391</v>
      </c>
      <c r="Y33" s="73">
        <f t="shared" si="9"/>
        <v>0</v>
      </c>
      <c r="Z33" s="73">
        <f>IF(X33&gt;0,X33,0)*4+IF((W33+X33)&gt;12,(W33+X33)-12,0)*4+IF((W33+X33)&gt;13,(W33+X33)-13,0)*4+IF((W33+X33)&gt;14,(W33+X33)-14,0)*4+IF((W33+X33)&gt;15,(W33+X33)-15,0)*4+IF((W33+X33)&gt;16,(W33+X33)-16,0)*4+IF((W33+X33)&gt;17,(W33+X33)-17,0)*4+IF((W33+X33)&gt;18,(W33+X33)-18,0)*4+IF((W33+X33)&gt;19,(W33+X33)-19,0)*4+IF((W33+X33)&gt;20,(W33+X33)-20,0)*4</f>
        <v>30.864285186006956</v>
      </c>
      <c r="AA33" s="11"/>
      <c r="AB33" s="11"/>
    </row>
    <row r="34" spans="1:28" ht="15.75" thickBot="1">
      <c r="A34" s="6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39"/>
      <c r="O34" s="19"/>
      <c r="P34" s="19"/>
      <c r="Q34" s="19"/>
      <c r="R34" s="19"/>
      <c r="S34" s="26"/>
      <c r="T34" s="26"/>
      <c r="U34" s="26"/>
      <c r="V34" s="15"/>
      <c r="W34" s="81"/>
      <c r="X34" s="2"/>
      <c r="Y34" s="26"/>
      <c r="Z34" s="27"/>
      <c r="AA34" s="11"/>
      <c r="AB34" s="11"/>
    </row>
    <row r="35" spans="1:28">
      <c r="A35" s="17" t="s">
        <v>32</v>
      </c>
      <c r="B35" s="8" t="s">
        <v>9</v>
      </c>
      <c r="C35" s="64" t="s">
        <v>141</v>
      </c>
      <c r="D35" s="60">
        <f>Konvention_1slave-MUslave</f>
        <v>5</v>
      </c>
      <c r="E35" s="61"/>
      <c r="F35" s="61">
        <f>Konvention_1slave-INslave</f>
        <v>5</v>
      </c>
      <c r="G35" s="61"/>
      <c r="H35" s="61"/>
      <c r="I35" s="61">
        <f>Konvention_1slave-GEslave</f>
        <v>7</v>
      </c>
      <c r="J35" s="61"/>
      <c r="K35" s="62"/>
      <c r="L35" s="27">
        <f>(D35+E35+F35+G35+H35+I35+J35+K35)/3</f>
        <v>5.666666666666667</v>
      </c>
      <c r="M35" s="27">
        <f t="shared" si="1"/>
        <v>11.333333333333334</v>
      </c>
      <c r="N35" s="28">
        <f t="shared" si="2"/>
        <v>17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3052</v>
      </c>
      <c r="P35" s="11">
        <f>D35*F35*GEslave+D35*INslave*I35+MUslave*F35*I35</f>
        <v>1280</v>
      </c>
      <c r="Q35" s="62">
        <f t="shared" si="3"/>
        <v>175</v>
      </c>
      <c r="R35" s="60">
        <f t="shared" ref="R35:R41" si="17">SUM(O35:Q35)</f>
        <v>4507</v>
      </c>
      <c r="S35" s="29">
        <f t="shared" si="4"/>
        <v>3.8372901412617413</v>
      </c>
      <c r="T35" s="30">
        <f t="shared" si="5"/>
        <v>3.2186968419495603</v>
      </c>
      <c r="U35" s="31">
        <f t="shared" si="6"/>
        <v>0.66008431329043715</v>
      </c>
      <c r="V35" s="12">
        <f t="shared" si="7"/>
        <v>7.7160712965017391</v>
      </c>
      <c r="W35" s="123">
        <f t="shared" ref="W35:W41" si="18">Istwerte</f>
        <v>0</v>
      </c>
      <c r="X35" s="3">
        <f t="shared" si="8"/>
        <v>7.7160712965017391</v>
      </c>
      <c r="Y35" s="71">
        <f t="shared" si="9"/>
        <v>0</v>
      </c>
      <c r="Z35" s="71">
        <f>IF(X35&gt;0,X35,0)*3+IF((W35+X35)&gt;12,(W35+X35)-12,0)*3+IF((W35+X35)&gt;13,(W35+X35)-13,0)*3+IF((W35+X35)&gt;14,(W35+X35)-14,0)*3+IF((W35+X35)&gt;15,(W35+X35)-15,0)*3+IF((W35+X35)&gt;16,(W35+X35)-16,0)*3+IF((W35+X35)&gt;17,(W35+X35)-17,0)*3+IF((W35+X35)&gt;18,(W35+X35)-18,0)*3+IF((W35+X35)&gt;19,(W35+X35)-19,0)*3+IF((W35+X35)&gt;20,(W35+X35)-20,0)*3</f>
        <v>23.148213889505218</v>
      </c>
      <c r="AA35" s="11"/>
      <c r="AB35" s="11"/>
    </row>
    <row r="36" spans="1:28">
      <c r="A36" s="17" t="s">
        <v>33</v>
      </c>
      <c r="B36" s="9" t="s">
        <v>91</v>
      </c>
      <c r="C36" s="68" t="s">
        <v>139</v>
      </c>
      <c r="D36" s="20"/>
      <c r="E36" s="21">
        <f>Konvention_1slave-KLslave</f>
        <v>5</v>
      </c>
      <c r="F36" s="21"/>
      <c r="G36" s="21"/>
      <c r="H36" s="21">
        <f>Konvention_1slave-FFslave</f>
        <v>6</v>
      </c>
      <c r="I36" s="21"/>
      <c r="J36" s="21"/>
      <c r="K36" s="22">
        <f>Konvention_1slave-KKslave</f>
        <v>10</v>
      </c>
      <c r="L36" s="27">
        <f>(D36+E36+F36+G36+H36+I36+J36+K36)/3</f>
        <v>7</v>
      </c>
      <c r="M36" s="27">
        <f t="shared" si="1"/>
        <v>14</v>
      </c>
      <c r="N36" s="32">
        <f t="shared" si="2"/>
        <v>21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3161</v>
      </c>
      <c r="P36" s="11">
        <f>E36*H36*KKslave+E36*FFslave*K36+KLslave*H36*K36</f>
        <v>1760</v>
      </c>
      <c r="Q36" s="22">
        <f t="shared" si="3"/>
        <v>300</v>
      </c>
      <c r="R36" s="20">
        <f t="shared" si="17"/>
        <v>5221</v>
      </c>
      <c r="S36" s="33">
        <f t="shared" si="4"/>
        <v>4.2380769967439189</v>
      </c>
      <c r="T36" s="26">
        <f t="shared" si="5"/>
        <v>4.7194024133307799</v>
      </c>
      <c r="U36" s="34">
        <f t="shared" si="6"/>
        <v>1.2066653897720743</v>
      </c>
      <c r="V36" s="13">
        <f t="shared" si="7"/>
        <v>10.164144799846774</v>
      </c>
      <c r="W36" s="123">
        <f t="shared" si="18"/>
        <v>0</v>
      </c>
      <c r="X36" s="4">
        <f t="shared" si="8"/>
        <v>10.164144799846774</v>
      </c>
      <c r="Y36" s="72">
        <f t="shared" si="9"/>
        <v>0</v>
      </c>
      <c r="Z36" s="72">
        <f>IF(X36&gt;0,X36,0)*1+IF((W36+X36)&gt;12,(W36+X36)-12,0)*1+IF((W36+X36)&gt;13,(W36+X36)-13,0)*1+IF((W36+X36)&gt;14,(W36+X36)-14,0)*1+IF((W36+X36)&gt;15,(W36+X36)-15,0)*1+IF((W36+X36)&gt;16,(W36+X36)-16,0)*1+IF((W36+X36)&gt;17,(W36+X36)-17,0)*1+IF((W36+X36)&gt;18,(W36+X36)-18,0)*1+IF((W36+X36)&gt;19,(W36+X36)-19,0)*1+IF((W36+X36)&gt;20,(W36+X36)-20,0)*1</f>
        <v>10.164144799846774</v>
      </c>
      <c r="AA36" s="11"/>
      <c r="AB36" s="11"/>
    </row>
    <row r="37" spans="1:28">
      <c r="A37" s="17" t="s">
        <v>34</v>
      </c>
      <c r="B37" s="9" t="s">
        <v>92</v>
      </c>
      <c r="C37" s="68" t="s">
        <v>139</v>
      </c>
      <c r="D37" s="20"/>
      <c r="E37" s="21"/>
      <c r="F37" s="21"/>
      <c r="G37" s="21"/>
      <c r="H37" s="21">
        <f>Konvention_1slave-FFslave</f>
        <v>6</v>
      </c>
      <c r="I37" s="21">
        <f>Konvention_1slave-GEslave</f>
        <v>7</v>
      </c>
      <c r="J37" s="21">
        <f>Konvention_1slave-KOslave</f>
        <v>6</v>
      </c>
      <c r="K37" s="22"/>
      <c r="L37" s="27">
        <f>(D37+E37+F37+G37+H37+I37+J37+K37)/3</f>
        <v>6.333333333333333</v>
      </c>
      <c r="M37" s="27">
        <f t="shared" si="1"/>
        <v>12.666666666666666</v>
      </c>
      <c r="N37" s="32">
        <f t="shared" si="2"/>
        <v>19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3055</v>
      </c>
      <c r="P37" s="11">
        <f>H37*I37*KOslave+H37*GEslave*J37+FFslave*I37*J37</f>
        <v>1524</v>
      </c>
      <c r="Q37" s="22">
        <f t="shared" si="3"/>
        <v>252</v>
      </c>
      <c r="R37" s="20">
        <f t="shared" si="17"/>
        <v>4831</v>
      </c>
      <c r="S37" s="33">
        <f t="shared" si="4"/>
        <v>4.0050369143724556</v>
      </c>
      <c r="T37" s="26">
        <f t="shared" si="5"/>
        <v>3.9958600703788036</v>
      </c>
      <c r="U37" s="34">
        <f t="shared" si="6"/>
        <v>0.99109915131442761</v>
      </c>
      <c r="V37" s="13">
        <f t="shared" si="7"/>
        <v>8.991996136065687</v>
      </c>
      <c r="W37" s="123">
        <f t="shared" si="18"/>
        <v>0</v>
      </c>
      <c r="X37" s="4">
        <f t="shared" si="8"/>
        <v>8.991996136065687</v>
      </c>
      <c r="Y37" s="72">
        <f t="shared" si="9"/>
        <v>0</v>
      </c>
      <c r="Z37" s="72">
        <f>IF(X37&gt;0,X37,0)*1+IF((W37+X37)&gt;12,(W37+X37)-12,0)*1+IF((W37+X37)&gt;13,(W37+X37)-13,0)*1+IF((W37+X37)&gt;14,(W37+X37)-14,0)*1+IF((W37+X37)&gt;15,(W37+X37)-15,0)*1+IF((W37+X37)&gt;16,(W37+X37)-16,0)*1+IF((W37+X37)&gt;17,(W37+X37)-17,0)*1+IF((W37+X37)&gt;18,(W37+X37)-18,0)*1+IF((W37+X37)&gt;19,(W37+X37)-19,0)*1+IF((W37+X37)&gt;20,(W37+X37)-20,0)*1</f>
        <v>8.991996136065687</v>
      </c>
      <c r="AA37" s="11"/>
      <c r="AB37" s="11"/>
    </row>
    <row r="38" spans="1:28">
      <c r="A38" s="17" t="s">
        <v>35</v>
      </c>
      <c r="B38" s="9" t="s">
        <v>82</v>
      </c>
      <c r="C38" s="68" t="s">
        <v>138</v>
      </c>
      <c r="D38" s="20"/>
      <c r="E38" s="21">
        <f>Konvention_1slave-KLslave</f>
        <v>5</v>
      </c>
      <c r="F38" s="21">
        <f>Konvention_1slave-INslave</f>
        <v>5</v>
      </c>
      <c r="G38" s="21"/>
      <c r="H38" s="21"/>
      <c r="I38" s="21"/>
      <c r="J38" s="21"/>
      <c r="K38" s="22"/>
      <c r="L38" s="27">
        <f>(E38+F38+F38)/3</f>
        <v>5</v>
      </c>
      <c r="M38" s="27">
        <f t="shared" si="1"/>
        <v>10</v>
      </c>
      <c r="N38" s="32">
        <f t="shared" si="2"/>
        <v>15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2940</v>
      </c>
      <c r="P38" s="11">
        <f>E38*F38*INslave+E38*INslave*F38+KLslave*F38*F38</f>
        <v>1050</v>
      </c>
      <c r="Q38" s="22">
        <f>IFERROR(D38^SIGN(D38),1)*IFERROR(E38^SIGN(E38),1)*IFERROR(F38^SIGN(F38),1)*IFERROR(G38^SIGN(G38),1)*IFERROR(H38^SIGN(H38),1)*IFERROR(I38^SIGN(I38),1)*IFERROR(J38^SIGN(J38),1)*IFERROR(K38^SIGN(K38),1)*IFERROR(F38^SIGN(F38),1)</f>
        <v>125</v>
      </c>
      <c r="R38" s="20">
        <f t="shared" si="17"/>
        <v>4115</v>
      </c>
      <c r="S38" s="33">
        <f t="shared" si="4"/>
        <v>3.5722964763061968</v>
      </c>
      <c r="T38" s="26">
        <f t="shared" si="5"/>
        <v>2.5516403402187122</v>
      </c>
      <c r="U38" s="34">
        <f t="shared" si="6"/>
        <v>0.45565006075334141</v>
      </c>
      <c r="V38" s="13">
        <f t="shared" si="7"/>
        <v>6.57958687727825</v>
      </c>
      <c r="W38" s="123">
        <f t="shared" si="18"/>
        <v>0</v>
      </c>
      <c r="X38" s="4">
        <f t="shared" si="8"/>
        <v>6.57958687727825</v>
      </c>
      <c r="Y38" s="72">
        <f t="shared" si="9"/>
        <v>0</v>
      </c>
      <c r="Z38" s="72">
        <f>IF(X38&gt;0,X38,0)*2+IF((W38+X38)&gt;12,(W38+X38)-12,0)*2+IF((W38+X38)&gt;13,(W38+X38)-13,0)*2+IF((W38+X38)&gt;14,(W38+X38)-14,0)*2+IF((W38+X38)&gt;15,(W38+X38)-15,0)*2+IF((W38+X38)&gt;16,(W38+X38)-16,0)*2+IF((W38+X38)&gt;17,(W38+X38)-17,0)*2+IF((W38+X38)&gt;18,(W38+X38)-18,0)*2+IF((W38+X38)&gt;19,(W38+X38)-19,0)*2+IF((W38+X38)&gt;20,(W38+X38)-20,0)*2</f>
        <v>13.1591737545565</v>
      </c>
      <c r="AA38" s="11"/>
      <c r="AB38" s="11"/>
    </row>
    <row r="39" spans="1:28">
      <c r="A39" s="17" t="s">
        <v>68</v>
      </c>
      <c r="B39" s="9" t="s">
        <v>93</v>
      </c>
      <c r="C39" s="68" t="s">
        <v>141</v>
      </c>
      <c r="D39" s="20"/>
      <c r="E39" s="21">
        <f>Konvention_1slave-KLslave</f>
        <v>5</v>
      </c>
      <c r="F39" s="21"/>
      <c r="G39" s="21"/>
      <c r="H39" s="21">
        <f>Konvention_1slave-FFslave</f>
        <v>6</v>
      </c>
      <c r="I39" s="21"/>
      <c r="J39" s="21">
        <f>Konvention_1slave-KOslave</f>
        <v>6</v>
      </c>
      <c r="K39" s="22"/>
      <c r="L39" s="27">
        <f>(D39+E39+F39+G39+H39+I39+J39+K39)/3</f>
        <v>5.666666666666667</v>
      </c>
      <c r="M39" s="27">
        <f t="shared" si="1"/>
        <v>11.333333333333334</v>
      </c>
      <c r="N39" s="32">
        <f t="shared" si="2"/>
        <v>17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3029</v>
      </c>
      <c r="P39" s="11">
        <f>E39*H39*KOslave+E39*FFslave*J39+KLslave*H39*J39</f>
        <v>1284</v>
      </c>
      <c r="Q39" s="22">
        <f>IFERROR(D39^SIGN(D39),1)*IFERROR(E39^SIGN(E39),1)*IFERROR(F39^SIGN(F39),1)*IFERROR(G39^SIGN(G39),1)*IFERROR(H39^SIGN(H39),1)*IFERROR(I39^SIGN(I39),1)*IFERROR(J39^SIGN(J39),1)*IFERROR(K39^SIGN(K39),1)</f>
        <v>180</v>
      </c>
      <c r="R39" s="20">
        <f t="shared" si="17"/>
        <v>4493</v>
      </c>
      <c r="S39" s="33">
        <f t="shared" si="4"/>
        <v>3.8202388901253808</v>
      </c>
      <c r="T39" s="26">
        <f t="shared" si="5"/>
        <v>3.2388159359002895</v>
      </c>
      <c r="U39" s="34">
        <f t="shared" si="6"/>
        <v>0.68105942577342538</v>
      </c>
      <c r="V39" s="13">
        <f t="shared" si="7"/>
        <v>7.7401142517990964</v>
      </c>
      <c r="W39" s="123">
        <f t="shared" si="18"/>
        <v>0</v>
      </c>
      <c r="X39" s="4">
        <f t="shared" si="8"/>
        <v>7.7401142517990964</v>
      </c>
      <c r="Y39" s="72">
        <f t="shared" si="9"/>
        <v>0</v>
      </c>
      <c r="Z39" s="72">
        <f>IF(X39&gt;0,X39,0)*3+IF((W39+X39)&gt;12,(W39+X39)-12,0)*3+IF((W39+X39)&gt;13,(W39+X39)-13,0)*3+IF((W39+X39)&gt;14,(W39+X39)-14,0)*3+IF((W39+X39)&gt;15,(W39+X39)-15,0)*3+IF((W39+X39)&gt;16,(W39+X39)-16,0)*3+IF((W39+X39)&gt;17,(W39+X39)-17,0)*3+IF((W39+X39)&gt;18,(W39+X39)-18,0)*3+IF((W39+X39)&gt;19,(W39+X39)-19,0)*3+IF((W39+X39)&gt;20,(W39+X39)-20,0)*3</f>
        <v>23.22034275539729</v>
      </c>
      <c r="AA39" s="11"/>
      <c r="AB39" s="11"/>
    </row>
    <row r="40" spans="1:28">
      <c r="A40" s="17" t="s">
        <v>36</v>
      </c>
      <c r="B40" s="9" t="s">
        <v>94</v>
      </c>
      <c r="C40" s="68" t="s">
        <v>141</v>
      </c>
      <c r="D40" s="20">
        <f>Konvention_1slave-MUslave</f>
        <v>5</v>
      </c>
      <c r="E40" s="21"/>
      <c r="F40" s="21"/>
      <c r="G40" s="21">
        <f>Konvention_1slave-CHslave</f>
        <v>7</v>
      </c>
      <c r="H40" s="21"/>
      <c r="I40" s="21"/>
      <c r="J40" s="21"/>
      <c r="K40" s="22"/>
      <c r="L40" s="27">
        <f>(D40+D40+G40)/3</f>
        <v>5.666666666666667</v>
      </c>
      <c r="M40" s="27">
        <f t="shared" si="1"/>
        <v>11.333333333333334</v>
      </c>
      <c r="N40" s="32">
        <f t="shared" si="2"/>
        <v>17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3052</v>
      </c>
      <c r="P40" s="11">
        <f>D40*D40*CHslave+D40*MUslave*G40+MUslave*D40*G40</f>
        <v>1280</v>
      </c>
      <c r="Q40" s="22">
        <f>IFERROR(D40^SIGN(D40),1)*IFERROR(E40^SIGN(E40),1)*IFERROR(F40^SIGN(F40),1)*IFERROR(G40^SIGN(G40),1)*IFERROR(H40^SIGN(H40),1)*IFERROR(I40^SIGN(I40),1)*IFERROR(J40^SIGN(J40),1)*IFERROR(K40^SIGN(K40),1)*IFERROR(D40^SIGN(D40),1)</f>
        <v>175</v>
      </c>
      <c r="R40" s="20">
        <f t="shared" si="17"/>
        <v>4507</v>
      </c>
      <c r="S40" s="33">
        <f t="shared" si="4"/>
        <v>3.8372901412617413</v>
      </c>
      <c r="T40" s="26">
        <f t="shared" si="5"/>
        <v>3.2186968419495603</v>
      </c>
      <c r="U40" s="34">
        <f t="shared" si="6"/>
        <v>0.66008431329043715</v>
      </c>
      <c r="V40" s="13">
        <f t="shared" si="7"/>
        <v>7.7160712965017391</v>
      </c>
      <c r="W40" s="123">
        <f t="shared" si="18"/>
        <v>0</v>
      </c>
      <c r="X40" s="4">
        <f t="shared" si="8"/>
        <v>7.7160712965017391</v>
      </c>
      <c r="Y40" s="72">
        <f t="shared" si="9"/>
        <v>0</v>
      </c>
      <c r="Z40" s="72">
        <f>IF(X40&gt;0,X40,0)*3+IF((W40+X40)&gt;12,(W40+X40)-12,0)*3+IF((W40+X40)&gt;13,(W40+X40)-13,0)*3+IF((W40+X40)&gt;14,(W40+X40)-14,0)*3+IF((W40+X40)&gt;15,(W40+X40)-15,0)*3+IF((W40+X40)&gt;16,(W40+X40)-16,0)*3+IF((W40+X40)&gt;17,(W40+X40)-17,0)*3+IF((W40+X40)&gt;18,(W40+X40)-18,0)*3+IF((W40+X40)&gt;19,(W40+X40)-19,0)*3+IF((W40+X40)&gt;20,(W40+X40)-20,0)*3</f>
        <v>23.148213889505218</v>
      </c>
      <c r="AA40" s="11"/>
      <c r="AB40" s="11"/>
    </row>
    <row r="41" spans="1:28" ht="15.75" thickBot="1">
      <c r="A41" s="40" t="s">
        <v>37</v>
      </c>
      <c r="B41" s="10" t="s">
        <v>95</v>
      </c>
      <c r="C41" s="59" t="s">
        <v>141</v>
      </c>
      <c r="D41" s="24">
        <f>Konvention_1slave-MUslave</f>
        <v>5</v>
      </c>
      <c r="E41" s="19"/>
      <c r="F41" s="19"/>
      <c r="G41" s="19"/>
      <c r="H41" s="19"/>
      <c r="I41" s="19">
        <f>Konvention_1slave-GEslave</f>
        <v>7</v>
      </c>
      <c r="J41" s="19">
        <f>Konvention_1slave-KOslave</f>
        <v>6</v>
      </c>
      <c r="K41" s="23"/>
      <c r="L41" s="37">
        <f>(D41+E41+F41+G41+H41+I41+J41+K41)/3</f>
        <v>6</v>
      </c>
      <c r="M41" s="25">
        <f t="shared" si="1"/>
        <v>12</v>
      </c>
      <c r="N41" s="36">
        <f t="shared" si="2"/>
        <v>18</v>
      </c>
      <c r="O41" s="19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3062</v>
      </c>
      <c r="P41" s="19">
        <f>D41*I41*KOslave+D41*GEslave*J41+MUslave*I41*J41</f>
        <v>1403</v>
      </c>
      <c r="Q41" s="23">
        <f t="shared" si="3"/>
        <v>210</v>
      </c>
      <c r="R41" s="24">
        <f t="shared" si="17"/>
        <v>4675</v>
      </c>
      <c r="S41" s="37">
        <f t="shared" si="4"/>
        <v>3.9298395721925132</v>
      </c>
      <c r="T41" s="25">
        <f t="shared" si="5"/>
        <v>3.6012834224598929</v>
      </c>
      <c r="U41" s="38">
        <f t="shared" si="6"/>
        <v>0.80855614973262036</v>
      </c>
      <c r="V41" s="14">
        <f t="shared" si="7"/>
        <v>8.3396791443850269</v>
      </c>
      <c r="W41" s="123">
        <f t="shared" si="18"/>
        <v>0</v>
      </c>
      <c r="X41" s="5">
        <f t="shared" si="8"/>
        <v>8.3396791443850269</v>
      </c>
      <c r="Y41" s="73">
        <f t="shared" si="9"/>
        <v>0</v>
      </c>
      <c r="Z41" s="73">
        <f>IF(X41&gt;0,X41,0)*3+IF((W41+X41)&gt;12,(W41+X41)-12,0)*3+IF((W41+X41)&gt;13,(W41+X41)-13,0)*3+IF((W41+X41)&gt;14,(W41+X41)-14,0)*3+IF((W41+X41)&gt;15,(W41+X41)-15,0)*3+IF((W41+X41)&gt;16,(W41+X41)-16,0)*3+IF((W41+X41)&gt;17,(W41+X41)-17,0)*3+IF((W41+X41)&gt;18,(W41+X41)-18,0)*3+IF((W41+X41)&gt;19,(W41+X41)-19,0)*3+IF((W41+X41)&gt;20,(W41+X41)-20,0)*3</f>
        <v>25.019037433155081</v>
      </c>
      <c r="AA41" s="11"/>
      <c r="AB41" s="11"/>
    </row>
    <row r="42" spans="1:28" ht="15.75" thickBot="1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5"/>
      <c r="M42" s="25"/>
      <c r="N42" s="39"/>
      <c r="O42" s="19"/>
      <c r="P42" s="19"/>
      <c r="Q42" s="19"/>
      <c r="R42" s="19"/>
      <c r="S42" s="26"/>
      <c r="T42" s="26"/>
      <c r="U42" s="26"/>
      <c r="V42" s="15"/>
      <c r="W42" s="81"/>
      <c r="X42" s="2"/>
      <c r="Y42" s="26"/>
      <c r="Z42" s="27"/>
      <c r="AA42" s="11"/>
      <c r="AB42" s="11"/>
    </row>
    <row r="43" spans="1:28">
      <c r="A43" s="17" t="s">
        <v>39</v>
      </c>
      <c r="B43" s="8" t="s">
        <v>96</v>
      </c>
      <c r="C43" s="64" t="s">
        <v>139</v>
      </c>
      <c r="D43" s="60"/>
      <c r="E43" s="61">
        <f t="shared" ref="E43:E54" si="19">Konvention_1slave-KLslave</f>
        <v>5</v>
      </c>
      <c r="F43" s="61">
        <f t="shared" ref="F43:F48" si="20">Konvention_1slave-INslave</f>
        <v>5</v>
      </c>
      <c r="G43" s="61"/>
      <c r="H43" s="61"/>
      <c r="I43" s="61"/>
      <c r="J43" s="61"/>
      <c r="K43" s="62"/>
      <c r="L43" s="27">
        <f>(E43+E43+F43)/3</f>
        <v>5</v>
      </c>
      <c r="M43" s="27">
        <f t="shared" si="1"/>
        <v>10</v>
      </c>
      <c r="N43" s="28">
        <f t="shared" si="2"/>
        <v>15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2940</v>
      </c>
      <c r="P43" s="11">
        <f>E43*E43*INslave+E43*KLslave*F43+KLslave*E43*F43</f>
        <v>1050</v>
      </c>
      <c r="Q43" s="62">
        <f>IFERROR(D43^SIGN(D43),1)*IFERROR(E43^SIGN(E43),1)*IFERROR(F43^SIGN(F43),1)*IFERROR(G43^SIGN(G43),1)*IFERROR(H43^SIGN(H43),1)*IFERROR(I43^SIGN(I43),1)*IFERROR(J43^SIGN(J43),1)*IFERROR(K43^SIGN(K43),1)*IFERROR(E43^SIGN(E43),1)</f>
        <v>125</v>
      </c>
      <c r="R43" s="60">
        <f>SUM(O43:Q43)</f>
        <v>4115</v>
      </c>
      <c r="S43" s="29">
        <f t="shared" si="4"/>
        <v>3.5722964763061968</v>
      </c>
      <c r="T43" s="30">
        <f t="shared" si="5"/>
        <v>2.5516403402187122</v>
      </c>
      <c r="U43" s="31">
        <f t="shared" si="6"/>
        <v>0.45565006075334141</v>
      </c>
      <c r="V43" s="12">
        <f t="shared" si="7"/>
        <v>6.57958687727825</v>
      </c>
      <c r="W43" s="123">
        <f t="shared" ref="W43:W54" si="21">Istwerte</f>
        <v>0</v>
      </c>
      <c r="X43" s="3">
        <f t="shared" si="8"/>
        <v>6.57958687727825</v>
      </c>
      <c r="Y43" s="71">
        <f t="shared" si="9"/>
        <v>0</v>
      </c>
      <c r="Z43" s="71">
        <f>IF(X43&gt;0,X43,0)*1+IF((W43+X43)&gt;12,(W43+X43)-12,0)*1+IF((W43+X43)&gt;13,(W43+X43)-13,0)*1+IF((W43+X43)&gt;14,(W43+X43)-14,0)*1+IF((W43+X43)&gt;15,(W43+X43)-15,0)*1+IF((W43+X43)&gt;16,(W43+X43)-16,0)*1+IF((W43+X43)&gt;17,(W43+X43)-17,0)*1+IF((W43+X43)&gt;18,(W43+X43)-18,0)*1+IF((W43+X43)&gt;19,(W43+X43)-19,0)*1+IF((W43+X43)&gt;20,(W43+X43)-20,0)*1</f>
        <v>6.57958687727825</v>
      </c>
      <c r="AA43" s="11"/>
      <c r="AB43" s="11"/>
    </row>
    <row r="44" spans="1:28">
      <c r="A44" s="17" t="s">
        <v>40</v>
      </c>
      <c r="B44" s="9" t="s">
        <v>96</v>
      </c>
      <c r="C44" s="68" t="s">
        <v>138</v>
      </c>
      <c r="D44" s="20"/>
      <c r="E44" s="21">
        <f t="shared" si="19"/>
        <v>5</v>
      </c>
      <c r="F44" s="21">
        <f t="shared" si="20"/>
        <v>5</v>
      </c>
      <c r="G44" s="21"/>
      <c r="H44" s="21"/>
      <c r="I44" s="21"/>
      <c r="J44" s="21"/>
      <c r="K44" s="22"/>
      <c r="L44" s="27">
        <f>(E44+E44+F44)/3</f>
        <v>5</v>
      </c>
      <c r="M44" s="27">
        <f t="shared" si="1"/>
        <v>10</v>
      </c>
      <c r="N44" s="32">
        <f t="shared" si="2"/>
        <v>15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2940</v>
      </c>
      <c r="P44" s="11">
        <f>E44*E44*INslave+E44*KLslave*F44+KLslave*E44*F44</f>
        <v>1050</v>
      </c>
      <c r="Q44" s="22">
        <f>IFERROR(D44^SIGN(D44),1)*IFERROR(E44^SIGN(E44),1)*IFERROR(F44^SIGN(F44),1)*IFERROR(G44^SIGN(G44),1)*IFERROR(H44^SIGN(H44),1)*IFERROR(I44^SIGN(I44),1)*IFERROR(J44^SIGN(J44),1)*IFERROR(K44^SIGN(K44),1)*IFERROR(E44^SIGN(E44),1)</f>
        <v>125</v>
      </c>
      <c r="R44" s="20">
        <f t="shared" ref="R44:R53" si="22">SUM(O44:Q44)</f>
        <v>4115</v>
      </c>
      <c r="S44" s="33">
        <f t="shared" si="4"/>
        <v>3.5722964763061968</v>
      </c>
      <c r="T44" s="26">
        <f t="shared" si="5"/>
        <v>2.5516403402187122</v>
      </c>
      <c r="U44" s="34">
        <f t="shared" si="6"/>
        <v>0.45565006075334141</v>
      </c>
      <c r="V44" s="13">
        <f t="shared" si="7"/>
        <v>6.57958687727825</v>
      </c>
      <c r="W44" s="123">
        <f t="shared" si="21"/>
        <v>0</v>
      </c>
      <c r="X44" s="4">
        <f t="shared" si="8"/>
        <v>6.57958687727825</v>
      </c>
      <c r="Y44" s="72">
        <f t="shared" si="9"/>
        <v>0</v>
      </c>
      <c r="Z44" s="72">
        <f>IF(X44&gt;0,X44,0)*2+IF((W44+X44)&gt;12,(W44+X44)-12,0)*2+IF((W44+X44)&gt;13,(W44+X44)-13,0)*2+IF((W44+X44)&gt;14,(W44+X44)-14,0)*2+IF((W44+X44)&gt;15,(W44+X44)-15,0)*2+IF((W44+X44)&gt;16,(W44+X44)-16,0)*2+IF((W44+X44)&gt;17,(W44+X44)-17,0)*2+IF((W44+X44)&gt;18,(W44+X44)-18,0)*2+IF((W44+X44)&gt;19,(W44+X44)-19,0)*2+IF((W44+X44)&gt;20,(W44+X44)-20,0)*2</f>
        <v>13.1591737545565</v>
      </c>
      <c r="AA44" s="11"/>
      <c r="AB44" s="11"/>
    </row>
    <row r="45" spans="1:28">
      <c r="A45" s="17" t="s">
        <v>41</v>
      </c>
      <c r="B45" s="9" t="s">
        <v>96</v>
      </c>
      <c r="C45" s="68" t="s">
        <v>138</v>
      </c>
      <c r="D45" s="20"/>
      <c r="E45" s="21">
        <f t="shared" si="19"/>
        <v>5</v>
      </c>
      <c r="F45" s="21">
        <f t="shared" si="20"/>
        <v>5</v>
      </c>
      <c r="G45" s="21"/>
      <c r="H45" s="21"/>
      <c r="I45" s="21"/>
      <c r="J45" s="21"/>
      <c r="K45" s="22"/>
      <c r="L45" s="27">
        <f>(E45+E45+F45)/3</f>
        <v>5</v>
      </c>
      <c r="M45" s="27">
        <f t="shared" si="1"/>
        <v>10</v>
      </c>
      <c r="N45" s="32">
        <f t="shared" si="2"/>
        <v>15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2940</v>
      </c>
      <c r="P45" s="11">
        <f>E45*E45*INslave+E45*KLslave*F45+KLslave*E45*F45</f>
        <v>1050</v>
      </c>
      <c r="Q45" s="22">
        <f>IFERROR(D45^SIGN(D45),1)*IFERROR(E45^SIGN(E45),1)*IFERROR(F45^SIGN(F45),1)*IFERROR(G45^SIGN(G45),1)*IFERROR(H45^SIGN(H45),1)*IFERROR(I45^SIGN(I45),1)*IFERROR(J45^SIGN(J45),1)*IFERROR(K45^SIGN(K45),1)*IFERROR(E45^SIGN(E45),1)</f>
        <v>125</v>
      </c>
      <c r="R45" s="20">
        <f t="shared" si="22"/>
        <v>4115</v>
      </c>
      <c r="S45" s="33">
        <f t="shared" si="4"/>
        <v>3.5722964763061968</v>
      </c>
      <c r="T45" s="26">
        <f t="shared" si="5"/>
        <v>2.5516403402187122</v>
      </c>
      <c r="U45" s="34">
        <f t="shared" si="6"/>
        <v>0.45565006075334141</v>
      </c>
      <c r="V45" s="13">
        <f t="shared" si="7"/>
        <v>6.57958687727825</v>
      </c>
      <c r="W45" s="123">
        <f t="shared" si="21"/>
        <v>0</v>
      </c>
      <c r="X45" s="4">
        <f t="shared" si="8"/>
        <v>6.57958687727825</v>
      </c>
      <c r="Y45" s="72">
        <f t="shared" si="9"/>
        <v>0</v>
      </c>
      <c r="Z45" s="72">
        <f>IF(X45&gt;0,X45,0)*2+IF((W45+X45)&gt;12,(W45+X45)-12,0)*2+IF((W45+X45)&gt;13,(W45+X45)-13,0)*2+IF((W45+X45)&gt;14,(W45+X45)-14,0)*2+IF((W45+X45)&gt;15,(W45+X45)-15,0)*2+IF((W45+X45)&gt;16,(W45+X45)-16,0)*2+IF((W45+X45)&gt;17,(W45+X45)-17,0)*2+IF((W45+X45)&gt;18,(W45+X45)-18,0)*2+IF((W45+X45)&gt;19,(W45+X45)-19,0)*2+IF((W45+X45)&gt;20,(W45+X45)-20,0)*2</f>
        <v>13.1591737545565</v>
      </c>
      <c r="AA45" s="11"/>
      <c r="AB45" s="11"/>
    </row>
    <row r="46" spans="1:28">
      <c r="A46" s="17" t="s">
        <v>42</v>
      </c>
      <c r="B46" s="9" t="s">
        <v>96</v>
      </c>
      <c r="C46" s="68" t="s">
        <v>138</v>
      </c>
      <c r="D46" s="20"/>
      <c r="E46" s="21">
        <f t="shared" si="19"/>
        <v>5</v>
      </c>
      <c r="F46" s="21">
        <f t="shared" si="20"/>
        <v>5</v>
      </c>
      <c r="G46" s="21"/>
      <c r="H46" s="21"/>
      <c r="I46" s="21"/>
      <c r="J46" s="21"/>
      <c r="K46" s="22"/>
      <c r="L46" s="27">
        <f>(E46+E46+F46)/3</f>
        <v>5</v>
      </c>
      <c r="M46" s="27">
        <f t="shared" si="1"/>
        <v>10</v>
      </c>
      <c r="N46" s="32">
        <f t="shared" si="2"/>
        <v>15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2940</v>
      </c>
      <c r="P46" s="11">
        <f>E46*E46*INslave+E46*KLslave*F46+KLslave*E46*F46</f>
        <v>1050</v>
      </c>
      <c r="Q46" s="22">
        <f>IFERROR(D46^SIGN(D46),1)*IFERROR(E46^SIGN(E46),1)*IFERROR(F46^SIGN(F46),1)*IFERROR(G46^SIGN(G46),1)*IFERROR(H46^SIGN(H46),1)*IFERROR(I46^SIGN(I46),1)*IFERROR(J46^SIGN(J46),1)*IFERROR(K46^SIGN(K46),1)*IFERROR(E46^SIGN(E46),1)</f>
        <v>125</v>
      </c>
      <c r="R46" s="20">
        <f t="shared" si="22"/>
        <v>4115</v>
      </c>
      <c r="S46" s="33">
        <f t="shared" si="4"/>
        <v>3.5722964763061968</v>
      </c>
      <c r="T46" s="26">
        <f t="shared" si="5"/>
        <v>2.5516403402187122</v>
      </c>
      <c r="U46" s="34">
        <f t="shared" si="6"/>
        <v>0.45565006075334141</v>
      </c>
      <c r="V46" s="13">
        <f t="shared" si="7"/>
        <v>6.57958687727825</v>
      </c>
      <c r="W46" s="123">
        <f t="shared" si="21"/>
        <v>0</v>
      </c>
      <c r="X46" s="4">
        <f t="shared" si="8"/>
        <v>6.57958687727825</v>
      </c>
      <c r="Y46" s="72">
        <f t="shared" si="9"/>
        <v>0</v>
      </c>
      <c r="Z46" s="72">
        <f>IF(X46&gt;0,X46,0)*2+IF((W46+X46)&gt;12,(W46+X46)-12,0)*2+IF((W46+X46)&gt;13,(W46+X46)-13,0)*2+IF((W46+X46)&gt;14,(W46+X46)-14,0)*2+IF((W46+X46)&gt;15,(W46+X46)-15,0)*2+IF((W46+X46)&gt;16,(W46+X46)-16,0)*2+IF((W46+X46)&gt;17,(W46+X46)-17,0)*2+IF((W46+X46)&gt;18,(W46+X46)-18,0)*2+IF((W46+X46)&gt;19,(W46+X46)-19,0)*2+IF((W46+X46)&gt;20,(W46+X46)-20,0)*2</f>
        <v>13.1591737545565</v>
      </c>
      <c r="AA46" s="11"/>
      <c r="AB46" s="11"/>
    </row>
    <row r="47" spans="1:28">
      <c r="A47" s="17" t="s">
        <v>43</v>
      </c>
      <c r="B47" s="9" t="s">
        <v>97</v>
      </c>
      <c r="C47" s="68" t="s">
        <v>138</v>
      </c>
      <c r="D47" s="20">
        <f>Konvention_1slave-MUslave</f>
        <v>5</v>
      </c>
      <c r="E47" s="21">
        <f t="shared" si="19"/>
        <v>5</v>
      </c>
      <c r="F47" s="21">
        <f t="shared" si="20"/>
        <v>5</v>
      </c>
      <c r="G47" s="21"/>
      <c r="H47" s="21"/>
      <c r="I47" s="21"/>
      <c r="J47" s="21"/>
      <c r="K47" s="22"/>
      <c r="L47" s="27">
        <f>(D47+E47+F47+G47+H47+I47+J47+K47)/3</f>
        <v>5</v>
      </c>
      <c r="M47" s="27">
        <f t="shared" si="1"/>
        <v>10</v>
      </c>
      <c r="N47" s="32">
        <f t="shared" si="2"/>
        <v>15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2940</v>
      </c>
      <c r="P47" s="11">
        <f>D47*E47*INslave+D47*KLslave*F47+MUslave*E47*F47</f>
        <v>1050</v>
      </c>
      <c r="Q47" s="22">
        <f t="shared" si="3"/>
        <v>125</v>
      </c>
      <c r="R47" s="20">
        <f t="shared" si="22"/>
        <v>4115</v>
      </c>
      <c r="S47" s="33">
        <f t="shared" si="4"/>
        <v>3.5722964763061968</v>
      </c>
      <c r="T47" s="26">
        <f t="shared" si="5"/>
        <v>2.5516403402187122</v>
      </c>
      <c r="U47" s="34">
        <f t="shared" si="6"/>
        <v>0.45565006075334141</v>
      </c>
      <c r="V47" s="13">
        <f t="shared" si="7"/>
        <v>6.57958687727825</v>
      </c>
      <c r="W47" s="123">
        <f t="shared" si="21"/>
        <v>0</v>
      </c>
      <c r="X47" s="4">
        <f t="shared" si="8"/>
        <v>6.57958687727825</v>
      </c>
      <c r="Y47" s="72">
        <f t="shared" si="9"/>
        <v>0</v>
      </c>
      <c r="Z47" s="72">
        <f>IF(X47&gt;0,X47,0)*2+IF((W47+X47)&gt;12,(W47+X47)-12,0)*2+IF((W47+X47)&gt;13,(W47+X47)-13,0)*2+IF((W47+X47)&gt;14,(W47+X47)-14,0)*2+IF((W47+X47)&gt;15,(W47+X47)-15,0)*2+IF((W47+X47)&gt;16,(W47+X47)-16,0)*2+IF((W47+X47)&gt;17,(W47+X47)-17,0)*2+IF((W47+X47)&gt;18,(W47+X47)-18,0)*2+IF((W47+X47)&gt;19,(W47+X47)-19,0)*2+IF((W47+X47)&gt;20,(W47+X47)-20,0)*2</f>
        <v>13.1591737545565</v>
      </c>
      <c r="AA47" s="11"/>
      <c r="AB47" s="11"/>
    </row>
    <row r="48" spans="1:28">
      <c r="A48" s="17" t="s">
        <v>44</v>
      </c>
      <c r="B48" s="9" t="s">
        <v>96</v>
      </c>
      <c r="C48" s="68" t="s">
        <v>141</v>
      </c>
      <c r="D48" s="20"/>
      <c r="E48" s="21">
        <f t="shared" si="19"/>
        <v>5</v>
      </c>
      <c r="F48" s="21">
        <f t="shared" si="20"/>
        <v>5</v>
      </c>
      <c r="G48" s="21"/>
      <c r="H48" s="21"/>
      <c r="I48" s="21"/>
      <c r="J48" s="21"/>
      <c r="K48" s="22"/>
      <c r="L48" s="27">
        <f>(E48+E48+F48)/3</f>
        <v>5</v>
      </c>
      <c r="M48" s="27">
        <f t="shared" si="1"/>
        <v>10</v>
      </c>
      <c r="N48" s="32">
        <f t="shared" si="2"/>
        <v>15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2940</v>
      </c>
      <c r="P48" s="11">
        <f>E48*E48*INslave+E48*KLslave*F48+KLslave*E48*F48</f>
        <v>1050</v>
      </c>
      <c r="Q48" s="22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125</v>
      </c>
      <c r="R48" s="20">
        <f t="shared" si="22"/>
        <v>4115</v>
      </c>
      <c r="S48" s="33">
        <f t="shared" si="4"/>
        <v>3.5722964763061968</v>
      </c>
      <c r="T48" s="26">
        <f t="shared" si="5"/>
        <v>2.5516403402187122</v>
      </c>
      <c r="U48" s="34">
        <f t="shared" si="6"/>
        <v>0.45565006075334141</v>
      </c>
      <c r="V48" s="13">
        <f t="shared" si="7"/>
        <v>6.57958687727825</v>
      </c>
      <c r="W48" s="123">
        <f t="shared" si="21"/>
        <v>0</v>
      </c>
      <c r="X48" s="4">
        <f t="shared" si="8"/>
        <v>6.57958687727825</v>
      </c>
      <c r="Y48" s="72">
        <f t="shared" si="9"/>
        <v>0</v>
      </c>
      <c r="Z48" s="72">
        <f>IF(X48&gt;0,X48,0)*3+IF((W48+X48)&gt;12,(W48+X48)-12,0)*3+IF((W48+X48)&gt;13,(W48+X48)-13,0)*3+IF((W48+X48)&gt;14,(W48+X48)-14,0)*3+IF((W48+X48)&gt;15,(W48+X48)-15,0)*3+IF((W48+X48)&gt;16,(W48+X48)-16,0)*3+IF((W48+X48)&gt;17,(W48+X48)-17,0)*3+IF((W48+X48)&gt;18,(W48+X48)-18,0)*3+IF((W48+X48)&gt;19,(W48+X48)-19,0)*3+IF((W48+X48)&gt;20,(W48+X48)-20,0)*3</f>
        <v>19.738760631834751</v>
      </c>
      <c r="AA48" s="11"/>
      <c r="AB48" s="11"/>
    </row>
    <row r="49" spans="1:28">
      <c r="A49" s="17" t="s">
        <v>45</v>
      </c>
      <c r="B49" s="9" t="s">
        <v>98</v>
      </c>
      <c r="C49" s="68" t="s">
        <v>138</v>
      </c>
      <c r="D49" s="20"/>
      <c r="E49" s="21">
        <f t="shared" si="19"/>
        <v>5</v>
      </c>
      <c r="F49" s="21"/>
      <c r="G49" s="21"/>
      <c r="H49" s="21">
        <f>Konvention_1slave-FFslave</f>
        <v>6</v>
      </c>
      <c r="I49" s="21"/>
      <c r="J49" s="21"/>
      <c r="K49" s="22"/>
      <c r="L49" s="27">
        <f>(E49+E49+H49)/3</f>
        <v>5.333333333333333</v>
      </c>
      <c r="M49" s="27">
        <f t="shared" si="1"/>
        <v>10.666666666666666</v>
      </c>
      <c r="N49" s="32">
        <f t="shared" si="2"/>
        <v>16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2996</v>
      </c>
      <c r="P49" s="11">
        <f>E49*E49*FFslave+E49*KLslave*H49+KLslave*E49*H49</f>
        <v>1165</v>
      </c>
      <c r="Q49" s="22">
        <f t="shared" si="23"/>
        <v>150</v>
      </c>
      <c r="R49" s="20">
        <f t="shared" si="22"/>
        <v>4311</v>
      </c>
      <c r="S49" s="33">
        <f t="shared" si="4"/>
        <v>3.7064872806000153</v>
      </c>
      <c r="T49" s="26">
        <f t="shared" si="5"/>
        <v>2.8825485192917344</v>
      </c>
      <c r="U49" s="34">
        <f t="shared" si="6"/>
        <v>0.55671537926235215</v>
      </c>
      <c r="V49" s="13">
        <f t="shared" si="7"/>
        <v>7.145751179154102</v>
      </c>
      <c r="W49" s="123">
        <f t="shared" si="21"/>
        <v>0</v>
      </c>
      <c r="X49" s="4">
        <f t="shared" si="8"/>
        <v>7.145751179154102</v>
      </c>
      <c r="Y49" s="72">
        <f t="shared" si="9"/>
        <v>0</v>
      </c>
      <c r="Z49" s="72">
        <f>IF(X49&gt;0,X49,0)*2+IF((W49+X49)&gt;12,(W49+X49)-12,0)*2+IF((W49+X49)&gt;13,(W49+X49)-13,0)*2+IF((W49+X49)&gt;14,(W49+X49)-14,0)*2+IF((W49+X49)&gt;15,(W49+X49)-15,0)*2+IF((W49+X49)&gt;16,(W49+X49)-16,0)*2+IF((W49+X49)&gt;17,(W49+X49)-17,0)*2+IF((W49+X49)&gt;18,(W49+X49)-18,0)*2+IF((W49+X49)&gt;19,(W49+X49)-19,0)*2+IF((W49+X49)&gt;20,(W49+X49)-20,0)*2</f>
        <v>14.291502358308204</v>
      </c>
      <c r="AA49" s="11"/>
      <c r="AB49" s="11"/>
    </row>
    <row r="50" spans="1:28">
      <c r="A50" s="17" t="s">
        <v>46</v>
      </c>
      <c r="B50" s="9" t="s">
        <v>96</v>
      </c>
      <c r="C50" s="68" t="s">
        <v>139</v>
      </c>
      <c r="D50" s="20"/>
      <c r="E50" s="21">
        <f t="shared" si="19"/>
        <v>5</v>
      </c>
      <c r="F50" s="21">
        <f>Konvention_1slave-INslave</f>
        <v>5</v>
      </c>
      <c r="G50" s="21"/>
      <c r="H50" s="21"/>
      <c r="I50" s="21"/>
      <c r="J50" s="21"/>
      <c r="K50" s="22"/>
      <c r="L50" s="27">
        <f>(E50+E50+F50)/3</f>
        <v>5</v>
      </c>
      <c r="M50" s="27">
        <f t="shared" si="1"/>
        <v>10</v>
      </c>
      <c r="N50" s="32">
        <f t="shared" si="2"/>
        <v>15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2940</v>
      </c>
      <c r="P50" s="11">
        <f>E50*E50*INslave+E50*KLslave*F50+KLslave*E50*F50</f>
        <v>1050</v>
      </c>
      <c r="Q50" s="22">
        <f t="shared" si="23"/>
        <v>125</v>
      </c>
      <c r="R50" s="20">
        <f t="shared" si="22"/>
        <v>4115</v>
      </c>
      <c r="S50" s="33">
        <f t="shared" si="4"/>
        <v>3.5722964763061968</v>
      </c>
      <c r="T50" s="26">
        <f t="shared" si="5"/>
        <v>2.5516403402187122</v>
      </c>
      <c r="U50" s="34">
        <f t="shared" si="6"/>
        <v>0.45565006075334141</v>
      </c>
      <c r="V50" s="13">
        <f t="shared" si="7"/>
        <v>6.57958687727825</v>
      </c>
      <c r="W50" s="123">
        <f t="shared" si="21"/>
        <v>0</v>
      </c>
      <c r="X50" s="4">
        <f t="shared" si="8"/>
        <v>6.57958687727825</v>
      </c>
      <c r="Y50" s="72">
        <f t="shared" si="9"/>
        <v>0</v>
      </c>
      <c r="Z50" s="72">
        <f>IF(X50&gt;0,X50,0)*1+IF((W50+X50)&gt;12,(W50+X50)-12,0)*1+IF((W50+X50)&gt;13,(W50+X50)-13,0)*1+IF((W50+X50)&gt;14,(W50+X50)-14,0)*1+IF((W50+X50)&gt;15,(W50+X50)-15,0)*1+IF((W50+X50)&gt;16,(W50+X50)-16,0)*1+IF((W50+X50)&gt;17,(W50+X50)-17,0)*1+IF((W50+X50)&gt;18,(W50+X50)-18,0)*1+IF((W50+X50)&gt;19,(W50+X50)-19,0)*1+IF((W50+X50)&gt;20,(W50+X50)-20,0)*1</f>
        <v>6.57958687727825</v>
      </c>
      <c r="AA50" s="11"/>
      <c r="AB50" s="11"/>
    </row>
    <row r="51" spans="1:28">
      <c r="A51" s="17" t="s">
        <v>47</v>
      </c>
      <c r="B51" s="9" t="s">
        <v>96</v>
      </c>
      <c r="C51" s="68" t="s">
        <v>139</v>
      </c>
      <c r="D51" s="20"/>
      <c r="E51" s="21">
        <f t="shared" si="19"/>
        <v>5</v>
      </c>
      <c r="F51" s="21">
        <f>Konvention_1slave-INslave</f>
        <v>5</v>
      </c>
      <c r="G51" s="21"/>
      <c r="H51" s="21"/>
      <c r="I51" s="21"/>
      <c r="J51" s="21"/>
      <c r="K51" s="22"/>
      <c r="L51" s="27">
        <f>(E51+E51+F51)/3</f>
        <v>5</v>
      </c>
      <c r="M51" s="27">
        <f t="shared" si="1"/>
        <v>10</v>
      </c>
      <c r="N51" s="32">
        <f t="shared" si="2"/>
        <v>15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2940</v>
      </c>
      <c r="P51" s="11">
        <f>E51*E51*INslave+E51*KLslave*F51+KLslave*E51*F51</f>
        <v>1050</v>
      </c>
      <c r="Q51" s="22">
        <f t="shared" si="23"/>
        <v>125</v>
      </c>
      <c r="R51" s="20">
        <f t="shared" si="22"/>
        <v>4115</v>
      </c>
      <c r="S51" s="33">
        <f t="shared" si="4"/>
        <v>3.5722964763061968</v>
      </c>
      <c r="T51" s="26">
        <f t="shared" si="5"/>
        <v>2.5516403402187122</v>
      </c>
      <c r="U51" s="34">
        <f t="shared" si="6"/>
        <v>0.45565006075334141</v>
      </c>
      <c r="V51" s="13">
        <f t="shared" si="7"/>
        <v>6.57958687727825</v>
      </c>
      <c r="W51" s="123">
        <f t="shared" si="21"/>
        <v>0</v>
      </c>
      <c r="X51" s="4">
        <f t="shared" si="8"/>
        <v>6.57958687727825</v>
      </c>
      <c r="Y51" s="72">
        <f t="shared" si="9"/>
        <v>0</v>
      </c>
      <c r="Z51" s="72">
        <f>IF(X51&gt;0,X51,0)*1+IF((W51+X51)&gt;12,(W51+X51)-12,0)*1+IF((W51+X51)&gt;13,(W51+X51)-13,0)*1+IF((W51+X51)&gt;14,(W51+X51)-14,0)*1+IF((W51+X51)&gt;15,(W51+X51)-15,0)*1+IF((W51+X51)&gt;16,(W51+X51)-16,0)*1+IF((W51+X51)&gt;17,(W51+X51)-17,0)*1+IF((W51+X51)&gt;18,(W51+X51)-18,0)*1+IF((W51+X51)&gt;19,(W51+X51)-19,0)*1+IF((W51+X51)&gt;20,(W51+X51)-20,0)*1</f>
        <v>6.57958687727825</v>
      </c>
      <c r="AA51" s="11"/>
      <c r="AB51" s="11"/>
    </row>
    <row r="52" spans="1:28">
      <c r="A52" s="17" t="s">
        <v>48</v>
      </c>
      <c r="B52" s="9" t="s">
        <v>96</v>
      </c>
      <c r="C52" s="68" t="s">
        <v>138</v>
      </c>
      <c r="D52" s="20"/>
      <c r="E52" s="21">
        <f t="shared" si="19"/>
        <v>5</v>
      </c>
      <c r="F52" s="21">
        <f>Konvention_1slave-INslave</f>
        <v>5</v>
      </c>
      <c r="G52" s="21"/>
      <c r="H52" s="21"/>
      <c r="I52" s="21"/>
      <c r="J52" s="21"/>
      <c r="K52" s="22"/>
      <c r="L52" s="27">
        <f>(E52+E52+F52)/3</f>
        <v>5</v>
      </c>
      <c r="M52" s="27">
        <f t="shared" si="1"/>
        <v>10</v>
      </c>
      <c r="N52" s="32">
        <f t="shared" si="2"/>
        <v>15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2940</v>
      </c>
      <c r="P52" s="11">
        <f>E52*E52*INslave+E52*KLslave*F52+KLslave*E52*F52</f>
        <v>1050</v>
      </c>
      <c r="Q52" s="22">
        <f t="shared" si="23"/>
        <v>125</v>
      </c>
      <c r="R52" s="20">
        <f t="shared" si="22"/>
        <v>4115</v>
      </c>
      <c r="S52" s="33">
        <f t="shared" si="4"/>
        <v>3.5722964763061968</v>
      </c>
      <c r="T52" s="26">
        <f t="shared" si="5"/>
        <v>2.5516403402187122</v>
      </c>
      <c r="U52" s="34">
        <f t="shared" si="6"/>
        <v>0.45565006075334141</v>
      </c>
      <c r="V52" s="13">
        <f t="shared" si="7"/>
        <v>6.57958687727825</v>
      </c>
      <c r="W52" s="123">
        <f t="shared" si="21"/>
        <v>0</v>
      </c>
      <c r="X52" s="4">
        <f t="shared" si="8"/>
        <v>6.57958687727825</v>
      </c>
      <c r="Y52" s="72">
        <f t="shared" si="9"/>
        <v>0</v>
      </c>
      <c r="Z52" s="72">
        <f>IF(X52&gt;0,X52,0)*2+IF((W52+X52)&gt;12,(W52+X52)-12,0)*2+IF((W52+X52)&gt;13,(W52+X52)-13,0)*2+IF((W52+X52)&gt;14,(W52+X52)-14,0)*2+IF((W52+X52)&gt;15,(W52+X52)-15,0)*2+IF((W52+X52)&gt;16,(W52+X52)-16,0)*2+IF((W52+X52)&gt;17,(W52+X52)-17,0)*2+IF((W52+X52)&gt;18,(W52+X52)-18,0)*2+IF((W52+X52)&gt;19,(W52+X52)-19,0)*2+IF((W52+X52)&gt;20,(W52+X52)-20,0)*2</f>
        <v>13.1591737545565</v>
      </c>
      <c r="AA52" s="11"/>
      <c r="AB52" s="11"/>
    </row>
    <row r="53" spans="1:28">
      <c r="A53" s="17" t="s">
        <v>49</v>
      </c>
      <c r="B53" s="9" t="s">
        <v>96</v>
      </c>
      <c r="C53" s="68" t="s">
        <v>138</v>
      </c>
      <c r="D53" s="20"/>
      <c r="E53" s="21">
        <f t="shared" si="19"/>
        <v>5</v>
      </c>
      <c r="F53" s="21">
        <f>Konvention_1slave-INslave</f>
        <v>5</v>
      </c>
      <c r="G53" s="21"/>
      <c r="H53" s="21"/>
      <c r="I53" s="21"/>
      <c r="J53" s="21"/>
      <c r="K53" s="22"/>
      <c r="L53" s="27">
        <f>(E53+E53+F53)/3</f>
        <v>5</v>
      </c>
      <c r="M53" s="27">
        <f t="shared" si="1"/>
        <v>10</v>
      </c>
      <c r="N53" s="32">
        <f t="shared" si="2"/>
        <v>15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2940</v>
      </c>
      <c r="P53" s="11">
        <f>E53*E53*INslave+E53*KLslave*F53+KLslave*E53*F53</f>
        <v>1050</v>
      </c>
      <c r="Q53" s="22">
        <f t="shared" si="23"/>
        <v>125</v>
      </c>
      <c r="R53" s="20">
        <f t="shared" si="22"/>
        <v>4115</v>
      </c>
      <c r="S53" s="33">
        <f t="shared" si="4"/>
        <v>3.5722964763061968</v>
      </c>
      <c r="T53" s="26">
        <f t="shared" si="5"/>
        <v>2.5516403402187122</v>
      </c>
      <c r="U53" s="34">
        <f t="shared" si="6"/>
        <v>0.45565006075334141</v>
      </c>
      <c r="V53" s="13">
        <f t="shared" si="7"/>
        <v>6.57958687727825</v>
      </c>
      <c r="W53" s="123">
        <f t="shared" si="21"/>
        <v>0</v>
      </c>
      <c r="X53" s="4">
        <f t="shared" si="8"/>
        <v>6.57958687727825</v>
      </c>
      <c r="Y53" s="72">
        <f t="shared" si="9"/>
        <v>0</v>
      </c>
      <c r="Z53" s="72">
        <f>IF(X53&gt;0,X53,0)*2+IF((W53+X53)&gt;12,(W53+X53)-12,0)*2+IF((W53+X53)&gt;13,(W53+X53)-13,0)*2+IF((W53+X53)&gt;14,(W53+X53)-14,0)*2+IF((W53+X53)&gt;15,(W53+X53)-15,0)*2+IF((W53+X53)&gt;16,(W53+X53)-16,0)*2+IF((W53+X53)&gt;17,(W53+X53)-17,0)*2+IF((W53+X53)&gt;18,(W53+X53)-18,0)*2+IF((W53+X53)&gt;19,(W53+X53)-19,0)*2+IF((W53+X53)&gt;20,(W53+X53)-20,0)*2</f>
        <v>13.1591737545565</v>
      </c>
      <c r="AA53" s="11"/>
      <c r="AB53" s="11"/>
    </row>
    <row r="54" spans="1:28" ht="15.75" thickBot="1">
      <c r="A54" s="40" t="s">
        <v>50</v>
      </c>
      <c r="B54" s="10" t="s">
        <v>96</v>
      </c>
      <c r="C54" s="59" t="s">
        <v>139</v>
      </c>
      <c r="D54" s="24"/>
      <c r="E54" s="19">
        <f t="shared" si="19"/>
        <v>5</v>
      </c>
      <c r="F54" s="19">
        <f>Konvention_1slave-INslave</f>
        <v>5</v>
      </c>
      <c r="G54" s="19"/>
      <c r="H54" s="19"/>
      <c r="I54" s="19"/>
      <c r="J54" s="19"/>
      <c r="K54" s="23"/>
      <c r="L54" s="37">
        <f>(E54+E54+F54)/3</f>
        <v>5</v>
      </c>
      <c r="M54" s="25">
        <f t="shared" si="1"/>
        <v>10</v>
      </c>
      <c r="N54" s="36">
        <f t="shared" si="2"/>
        <v>15</v>
      </c>
      <c r="O54" s="19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2940</v>
      </c>
      <c r="P54" s="19">
        <f>E54*E54*INslave+E54*KLslave*F54+KLslave*E54*F54</f>
        <v>1050</v>
      </c>
      <c r="Q54" s="23">
        <f t="shared" si="23"/>
        <v>125</v>
      </c>
      <c r="R54" s="24">
        <f>SUM(O54:Q54)</f>
        <v>4115</v>
      </c>
      <c r="S54" s="37">
        <f t="shared" si="4"/>
        <v>3.5722964763061968</v>
      </c>
      <c r="T54" s="25">
        <f t="shared" si="5"/>
        <v>2.5516403402187122</v>
      </c>
      <c r="U54" s="38">
        <f t="shared" si="6"/>
        <v>0.45565006075334141</v>
      </c>
      <c r="V54" s="14">
        <f t="shared" si="7"/>
        <v>6.57958687727825</v>
      </c>
      <c r="W54" s="123">
        <f t="shared" si="21"/>
        <v>0</v>
      </c>
      <c r="X54" s="5">
        <f t="shared" si="8"/>
        <v>6.57958687727825</v>
      </c>
      <c r="Y54" s="73">
        <f t="shared" si="9"/>
        <v>0</v>
      </c>
      <c r="Z54" s="73">
        <f>IF(X54&gt;0,X54,0)*1+IF((W54+X54)&gt;12,(W54+X54)-12,0)*1+IF((W54+X54)&gt;13,(W54+X54)-13,0)*1+IF((W54+X54)&gt;14,(W54+X54)-14,0)*1+IF((W54+X54)&gt;15,(W54+X54)-15,0)*1+IF((W54+X54)&gt;16,(W54+X54)-16,0)*1+IF((W54+X54)&gt;17,(W54+X54)-17,0)*1+IF((W54+X54)&gt;18,(W54+X54)-18,0)*1+IF((W54+X54)&gt;19,(W54+X54)-19,0)*1+IF((W54+X54)&gt;20,(W54+X54)-20,0)*1</f>
        <v>6.57958687727825</v>
      </c>
      <c r="AA54" s="11"/>
      <c r="AB54" s="11"/>
    </row>
    <row r="55" spans="1:28" ht="15.75" thickBot="1">
      <c r="A55" s="6" t="s">
        <v>73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39"/>
      <c r="O55" s="19"/>
      <c r="P55" s="19"/>
      <c r="Q55" s="19"/>
      <c r="R55" s="19"/>
      <c r="S55" s="26"/>
      <c r="T55" s="26"/>
      <c r="U55" s="26"/>
      <c r="V55" s="15"/>
      <c r="W55" s="81"/>
      <c r="X55" s="2"/>
      <c r="Y55" s="26"/>
      <c r="Z55" s="27"/>
      <c r="AA55" s="11"/>
      <c r="AB55" s="11"/>
    </row>
    <row r="56" spans="1:28">
      <c r="A56" s="17" t="s">
        <v>51</v>
      </c>
      <c r="B56" s="8" t="s">
        <v>99</v>
      </c>
      <c r="C56" s="64" t="s">
        <v>141</v>
      </c>
      <c r="D56" s="60">
        <f>Konvention_1slave-MUslave</f>
        <v>5</v>
      </c>
      <c r="E56" s="61">
        <f>Konvention_1slave-KLslave</f>
        <v>5</v>
      </c>
      <c r="F56" s="61"/>
      <c r="G56" s="61"/>
      <c r="H56" s="61">
        <f>Konvention_1slave-FFslave</f>
        <v>6</v>
      </c>
      <c r="I56" s="61"/>
      <c r="J56" s="61"/>
      <c r="K56" s="62"/>
      <c r="L56" s="27">
        <f t="shared" ref="L56:L62" si="24">(D56+E56+F56+G56+H56+I56+J56+K56)/3</f>
        <v>5.333333333333333</v>
      </c>
      <c r="M56" s="27">
        <f t="shared" si="1"/>
        <v>10.666666666666666</v>
      </c>
      <c r="N56" s="28">
        <f t="shared" si="2"/>
        <v>16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2996</v>
      </c>
      <c r="P56" s="11">
        <f>D56*E56*FFslave+D56*KLslave*H56+MUslave*E56*H56</f>
        <v>1165</v>
      </c>
      <c r="Q56" s="62">
        <f t="shared" si="3"/>
        <v>150</v>
      </c>
      <c r="R56" s="60">
        <f>SUM(O56:Q56)</f>
        <v>4311</v>
      </c>
      <c r="S56" s="29">
        <f t="shared" si="4"/>
        <v>3.7064872806000153</v>
      </c>
      <c r="T56" s="30">
        <f t="shared" si="5"/>
        <v>2.8825485192917344</v>
      </c>
      <c r="U56" s="31">
        <f t="shared" si="6"/>
        <v>0.55671537926235215</v>
      </c>
      <c r="V56" s="12">
        <f t="shared" si="7"/>
        <v>7.145751179154102</v>
      </c>
      <c r="W56" s="123">
        <f t="shared" ref="W56:W72" si="26">Istwerte</f>
        <v>0</v>
      </c>
      <c r="X56" s="3">
        <f t="shared" si="8"/>
        <v>7.145751179154102</v>
      </c>
      <c r="Y56" s="71">
        <f t="shared" si="9"/>
        <v>0</v>
      </c>
      <c r="Z56" s="71">
        <f>IF(X56&gt;0,X56,0)*3+IF((W56+X56)&gt;12,(W56+X56)-12,0)*3+IF((W56+X56)&gt;13,(W56+X56)-13,0)*3+IF((W56+X56)&gt;14,(W56+X56)-14,0)*3+IF((W56+X56)&gt;15,(W56+X56)-15,0)*3+IF((W56+X56)&gt;16,(W56+X56)-16,0)*3+IF((W56+X56)&gt;17,(W56+X56)-17,0)*3+IF((W56+X56)&gt;18,(W56+X56)-18,0)*3+IF((W56+X56)&gt;19,(W56+X56)-19,0)*3+IF((W56+X56)&gt;20,(W56+X56)-20,0)*3</f>
        <v>21.437253537462304</v>
      </c>
      <c r="AA56" s="11"/>
      <c r="AB56" s="11"/>
    </row>
    <row r="57" spans="1:28">
      <c r="A57" s="17" t="s">
        <v>67</v>
      </c>
      <c r="B57" s="9" t="s">
        <v>100</v>
      </c>
      <c r="C57" s="68" t="s">
        <v>138</v>
      </c>
      <c r="D57" s="20"/>
      <c r="E57" s="21"/>
      <c r="F57" s="21"/>
      <c r="G57" s="21"/>
      <c r="H57" s="21">
        <f>Konvention_1slave-FFslave</f>
        <v>6</v>
      </c>
      <c r="I57" s="21">
        <f>Konvention_1slave-GEslave</f>
        <v>7</v>
      </c>
      <c r="J57" s="21"/>
      <c r="K57" s="22">
        <f>Konvention_1slave-KKslave</f>
        <v>10</v>
      </c>
      <c r="L57" s="27">
        <f t="shared" si="24"/>
        <v>7.666666666666667</v>
      </c>
      <c r="M57" s="27">
        <f t="shared" si="1"/>
        <v>15.333333333333334</v>
      </c>
      <c r="N57" s="32">
        <f t="shared" si="2"/>
        <v>23</v>
      </c>
      <c r="O57" s="11">
        <f t="shared" si="25"/>
        <v>3027</v>
      </c>
      <c r="P57" s="11">
        <f>H57*I57*KKslave+H57*GEslave*K57+FFslave*I57*K57</f>
        <v>2008</v>
      </c>
      <c r="Q57" s="22">
        <f t="shared" si="3"/>
        <v>420</v>
      </c>
      <c r="R57" s="20">
        <f t="shared" ref="R57:R71" si="27">SUM(O57:Q57)</f>
        <v>5455</v>
      </c>
      <c r="S57" s="33">
        <f t="shared" si="4"/>
        <v>4.254262144821265</v>
      </c>
      <c r="T57" s="26">
        <f t="shared" si="5"/>
        <v>5.644240757714635</v>
      </c>
      <c r="U57" s="34">
        <f t="shared" si="6"/>
        <v>1.7708524289642529</v>
      </c>
      <c r="V57" s="13">
        <f t="shared" si="7"/>
        <v>11.669355331500151</v>
      </c>
      <c r="W57" s="123">
        <f t="shared" si="26"/>
        <v>0</v>
      </c>
      <c r="X57" s="4">
        <f t="shared" si="8"/>
        <v>11.669355331500151</v>
      </c>
      <c r="Y57" s="72">
        <f t="shared" si="9"/>
        <v>0</v>
      </c>
      <c r="Z57" s="72">
        <f>IF(X57&gt;0,X57,0)*2+IF((W57+X57)&gt;12,(W57+X57)-12,0)*2+IF((W57+X57)&gt;13,(W57+X57)-13,0)*2+IF((W57+X57)&gt;14,(W57+X57)-14,0)*2+IF((W57+X57)&gt;15,(W57+X57)-15,0)*2+IF((W57+X57)&gt;16,(W57+X57)-16,0)*2+IF((W57+X57)&gt;17,(W57+X57)-17,0)*2+IF((W57+X57)&gt;18,(W57+X57)-18,0)*2+IF((W57+X57)&gt;19,(W57+X57)-19,0)*2+IF((W57+X57)&gt;20,(W57+X57)-20,0)*2</f>
        <v>23.338710663000303</v>
      </c>
      <c r="AA57" s="11"/>
      <c r="AB57" s="11"/>
    </row>
    <row r="58" spans="1:28">
      <c r="A58" s="17" t="s">
        <v>52</v>
      </c>
      <c r="B58" s="9" t="s">
        <v>101</v>
      </c>
      <c r="C58" s="68" t="s">
        <v>139</v>
      </c>
      <c r="D58" s="20"/>
      <c r="E58" s="21"/>
      <c r="F58" s="21"/>
      <c r="G58" s="21">
        <f>Konvention_1slave-CHslave</f>
        <v>7</v>
      </c>
      <c r="H58" s="21">
        <f>Konvention_1slave-FFslave</f>
        <v>6</v>
      </c>
      <c r="I58" s="21"/>
      <c r="J58" s="21">
        <f>Konvention_1slave-KOslave</f>
        <v>6</v>
      </c>
      <c r="K58" s="22"/>
      <c r="L58" s="27">
        <f t="shared" si="24"/>
        <v>6.333333333333333</v>
      </c>
      <c r="M58" s="27">
        <f t="shared" si="1"/>
        <v>12.666666666666666</v>
      </c>
      <c r="N58" s="32">
        <f t="shared" si="2"/>
        <v>19</v>
      </c>
      <c r="O58" s="11">
        <f t="shared" si="25"/>
        <v>3055</v>
      </c>
      <c r="P58" s="11">
        <f>G58*H58*KOslave+G58*FFslave*J58+CHslave*H58*J58</f>
        <v>1524</v>
      </c>
      <c r="Q58" s="22">
        <f t="shared" si="3"/>
        <v>252</v>
      </c>
      <c r="R58" s="20">
        <f t="shared" si="27"/>
        <v>4831</v>
      </c>
      <c r="S58" s="33">
        <f t="shared" si="4"/>
        <v>4.0050369143724556</v>
      </c>
      <c r="T58" s="26">
        <f t="shared" si="5"/>
        <v>3.9958600703788036</v>
      </c>
      <c r="U58" s="34">
        <f t="shared" si="6"/>
        <v>0.99109915131442761</v>
      </c>
      <c r="V58" s="13">
        <f t="shared" si="7"/>
        <v>8.991996136065687</v>
      </c>
      <c r="W58" s="123">
        <f t="shared" si="26"/>
        <v>0</v>
      </c>
      <c r="X58" s="4">
        <f t="shared" si="8"/>
        <v>8.991996136065687</v>
      </c>
      <c r="Y58" s="72">
        <f t="shared" si="9"/>
        <v>0</v>
      </c>
      <c r="Z58" s="72">
        <f>IF(X58&gt;0,X58,0)*1+IF((W58+X58)&gt;12,(W58+X58)-12,0)*1+IF((W58+X58)&gt;13,(W58+X58)-13,0)*1+IF((W58+X58)&gt;14,(W58+X58)-14,0)*1+IF((W58+X58)&gt;15,(W58+X58)-15,0)*1+IF((W58+X58)&gt;16,(W58+X58)-16,0)*1+IF((W58+X58)&gt;17,(W58+X58)-17,0)*1+IF((W58+X58)&gt;18,(W58+X58)-18,0)*1+IF((W58+X58)&gt;19,(W58+X58)-19,0)*1+IF((W58+X58)&gt;20,(W58+X58)-20,0)*1</f>
        <v>8.991996136065687</v>
      </c>
      <c r="AA58" s="11"/>
      <c r="AB58" s="11"/>
    </row>
    <row r="59" spans="1:28">
      <c r="A59" s="17" t="s">
        <v>53</v>
      </c>
      <c r="B59" s="9" t="s">
        <v>89</v>
      </c>
      <c r="C59" s="68" t="s">
        <v>138</v>
      </c>
      <c r="D59" s="20"/>
      <c r="E59" s="21">
        <f>Konvention_1slave-KLslave</f>
        <v>5</v>
      </c>
      <c r="F59" s="21">
        <f>Konvention_1slave-INslave</f>
        <v>5</v>
      </c>
      <c r="G59" s="21">
        <f>Konvention_1slave-CHslave</f>
        <v>7</v>
      </c>
      <c r="H59" s="21"/>
      <c r="I59" s="21"/>
      <c r="J59" s="21"/>
      <c r="K59" s="22"/>
      <c r="L59" s="27">
        <f t="shared" si="24"/>
        <v>5.666666666666667</v>
      </c>
      <c r="M59" s="27">
        <f t="shared" si="1"/>
        <v>11.333333333333334</v>
      </c>
      <c r="N59" s="32">
        <f t="shared" si="2"/>
        <v>17</v>
      </c>
      <c r="O59" s="11">
        <f t="shared" si="25"/>
        <v>3052</v>
      </c>
      <c r="P59" s="11">
        <f>E59*F59*CHslave+E59*INslave*G59+KLslave*F59*G59</f>
        <v>1280</v>
      </c>
      <c r="Q59" s="22">
        <f t="shared" si="3"/>
        <v>175</v>
      </c>
      <c r="R59" s="20">
        <f t="shared" si="27"/>
        <v>4507</v>
      </c>
      <c r="S59" s="33">
        <f t="shared" si="4"/>
        <v>3.8372901412617413</v>
      </c>
      <c r="T59" s="26">
        <f t="shared" si="5"/>
        <v>3.2186968419495603</v>
      </c>
      <c r="U59" s="34">
        <f t="shared" si="6"/>
        <v>0.66008431329043715</v>
      </c>
      <c r="V59" s="13">
        <f t="shared" si="7"/>
        <v>7.7160712965017391</v>
      </c>
      <c r="W59" s="123">
        <f t="shared" si="26"/>
        <v>0</v>
      </c>
      <c r="X59" s="4">
        <f t="shared" si="8"/>
        <v>7.7160712965017391</v>
      </c>
      <c r="Y59" s="72">
        <f t="shared" si="9"/>
        <v>0</v>
      </c>
      <c r="Z59" s="72">
        <f>IF(X59&gt;0,X59,0)*2+IF((W59+X59)&gt;12,(W59+X59)-12,0)*2+IF((W59+X59)&gt;13,(W59+X59)-13,0)*2+IF((W59+X59)&gt;14,(W59+X59)-14,0)*2+IF((W59+X59)&gt;15,(W59+X59)-15,0)*2+IF((W59+X59)&gt;16,(W59+X59)-16,0)*2+IF((W59+X59)&gt;17,(W59+X59)-17,0)*2+IF((W59+X59)&gt;18,(W59+X59)-18,0)*2+IF((W59+X59)&gt;19,(W59+X59)-19,0)*2+IF((W59+X59)&gt;20,(W59+X59)-20,0)*2</f>
        <v>15.432142593003478</v>
      </c>
      <c r="AA59" s="11"/>
      <c r="AB59" s="11"/>
    </row>
    <row r="60" spans="1:28">
      <c r="A60" s="17" t="s">
        <v>65</v>
      </c>
      <c r="B60" s="9" t="s">
        <v>97</v>
      </c>
      <c r="C60" s="68" t="s">
        <v>138</v>
      </c>
      <c r="D60" s="20">
        <f>Konvention_1slave-MUslave</f>
        <v>5</v>
      </c>
      <c r="E60" s="21">
        <f>Konvention_1slave-KLslave</f>
        <v>5</v>
      </c>
      <c r="F60" s="21">
        <f>Konvention_1slave-INslave</f>
        <v>5</v>
      </c>
      <c r="G60" s="21"/>
      <c r="H60" s="21"/>
      <c r="I60" s="21"/>
      <c r="J60" s="21"/>
      <c r="K60" s="22"/>
      <c r="L60" s="27">
        <f t="shared" si="24"/>
        <v>5</v>
      </c>
      <c r="M60" s="27">
        <f t="shared" si="1"/>
        <v>10</v>
      </c>
      <c r="N60" s="32">
        <f t="shared" si="2"/>
        <v>15</v>
      </c>
      <c r="O60" s="11">
        <f t="shared" si="25"/>
        <v>2940</v>
      </c>
      <c r="P60" s="11">
        <f>D60*E60*INslave+D60*KLslave*F60+MUslave*E60*F60</f>
        <v>1050</v>
      </c>
      <c r="Q60" s="22">
        <f t="shared" si="3"/>
        <v>125</v>
      </c>
      <c r="R60" s="20">
        <f t="shared" si="27"/>
        <v>4115</v>
      </c>
      <c r="S60" s="33">
        <f t="shared" si="4"/>
        <v>3.5722964763061968</v>
      </c>
      <c r="T60" s="26">
        <f t="shared" si="5"/>
        <v>2.5516403402187122</v>
      </c>
      <c r="U60" s="34">
        <f t="shared" si="6"/>
        <v>0.45565006075334141</v>
      </c>
      <c r="V60" s="13">
        <f t="shared" si="7"/>
        <v>6.57958687727825</v>
      </c>
      <c r="W60" s="123">
        <f t="shared" si="26"/>
        <v>0</v>
      </c>
      <c r="X60" s="4">
        <f t="shared" si="8"/>
        <v>6.57958687727825</v>
      </c>
      <c r="Y60" s="72">
        <f t="shared" si="9"/>
        <v>0</v>
      </c>
      <c r="Z60" s="72">
        <f>IF(X60&gt;0,X60,0)*2+IF((W60+X60)&gt;12,(W60+X60)-12,0)*2+IF((W60+X60)&gt;13,(W60+X60)-13,0)*2+IF((W60+X60)&gt;14,(W60+X60)-14,0)*2+IF((W60+X60)&gt;15,(W60+X60)-15,0)*2+IF((W60+X60)&gt;16,(W60+X60)-16,0)*2+IF((W60+X60)&gt;17,(W60+X60)-17,0)*2+IF((W60+X60)&gt;18,(W60+X60)-18,0)*2+IF((W60+X60)&gt;19,(W60+X60)-19,0)*2+IF((W60+X60)&gt;20,(W60+X60)-20,0)*2</f>
        <v>13.1591737545565</v>
      </c>
      <c r="AA60" s="11"/>
      <c r="AB60" s="11"/>
    </row>
    <row r="61" spans="1:28">
      <c r="A61" s="17" t="s">
        <v>54</v>
      </c>
      <c r="B61" s="9" t="s">
        <v>102</v>
      </c>
      <c r="C61" s="68" t="s">
        <v>138</v>
      </c>
      <c r="D61" s="20">
        <f>Konvention_1slave-MUslave</f>
        <v>5</v>
      </c>
      <c r="E61" s="21"/>
      <c r="F61" s="21">
        <f>Konvention_1slave-INslave</f>
        <v>5</v>
      </c>
      <c r="G61" s="21"/>
      <c r="H61" s="21"/>
      <c r="I61" s="21"/>
      <c r="J61" s="21">
        <f>Konvention_1slave-KOslave</f>
        <v>6</v>
      </c>
      <c r="K61" s="22"/>
      <c r="L61" s="27">
        <f t="shared" si="24"/>
        <v>5.333333333333333</v>
      </c>
      <c r="M61" s="27">
        <f t="shared" si="1"/>
        <v>10.666666666666666</v>
      </c>
      <c r="N61" s="32">
        <f t="shared" si="2"/>
        <v>16</v>
      </c>
      <c r="O61" s="11">
        <f t="shared" si="25"/>
        <v>2996</v>
      </c>
      <c r="P61" s="11">
        <f>D61*F61*KOslave+D61*INslave*J61+MUslave*F61*J61</f>
        <v>1165</v>
      </c>
      <c r="Q61" s="22">
        <f t="shared" si="3"/>
        <v>150</v>
      </c>
      <c r="R61" s="20">
        <f t="shared" si="27"/>
        <v>4311</v>
      </c>
      <c r="S61" s="33">
        <f t="shared" si="4"/>
        <v>3.7064872806000153</v>
      </c>
      <c r="T61" s="26">
        <f t="shared" si="5"/>
        <v>2.8825485192917344</v>
      </c>
      <c r="U61" s="34">
        <f t="shared" si="6"/>
        <v>0.55671537926235215</v>
      </c>
      <c r="V61" s="13">
        <f t="shared" si="7"/>
        <v>7.145751179154102</v>
      </c>
      <c r="W61" s="123">
        <f t="shared" si="26"/>
        <v>0</v>
      </c>
      <c r="X61" s="4">
        <f t="shared" si="8"/>
        <v>7.145751179154102</v>
      </c>
      <c r="Y61" s="72">
        <f t="shared" si="9"/>
        <v>0</v>
      </c>
      <c r="Z61" s="72">
        <f>IF(X61&gt;0,X61,0)*2+IF((W61+X61)&gt;12,(W61+X61)-12,0)*2+IF((W61+X61)&gt;13,(W61+X61)-13,0)*2+IF((W61+X61)&gt;14,(W61+X61)-14,0)*2+IF((W61+X61)&gt;15,(W61+X61)-15,0)*2+IF((W61+X61)&gt;16,(W61+X61)-16,0)*2+IF((W61+X61)&gt;17,(W61+X61)-17,0)*2+IF((W61+X61)&gt;18,(W61+X61)-18,0)*2+IF((W61+X61)&gt;19,(W61+X61)-19,0)*2+IF((W61+X61)&gt;20,(W61+X61)-20,0)*2</f>
        <v>14.291502358308204</v>
      </c>
      <c r="AA61" s="11"/>
      <c r="AB61" s="11"/>
    </row>
    <row r="62" spans="1:28">
      <c r="A62" s="17" t="s">
        <v>55</v>
      </c>
      <c r="B62" s="9" t="s">
        <v>103</v>
      </c>
      <c r="C62" s="68" t="s">
        <v>138</v>
      </c>
      <c r="D62" s="20"/>
      <c r="E62" s="21"/>
      <c r="F62" s="21">
        <f>Konvention_1slave-INslave</f>
        <v>5</v>
      </c>
      <c r="G62" s="21">
        <f>Konvention_1slave-CHslave</f>
        <v>7</v>
      </c>
      <c r="H62" s="21"/>
      <c r="I62" s="21"/>
      <c r="J62" s="21">
        <f>Konvention_1slave-KOslave</f>
        <v>6</v>
      </c>
      <c r="K62" s="22"/>
      <c r="L62" s="27">
        <f t="shared" si="24"/>
        <v>6</v>
      </c>
      <c r="M62" s="27">
        <f t="shared" si="1"/>
        <v>12</v>
      </c>
      <c r="N62" s="32">
        <f t="shared" si="2"/>
        <v>18</v>
      </c>
      <c r="O62" s="11">
        <f t="shared" si="25"/>
        <v>3062</v>
      </c>
      <c r="P62" s="11">
        <f>F62*G62*KOslave+F62*CHslave*J62+INslave*G62*J62</f>
        <v>1403</v>
      </c>
      <c r="Q62" s="22">
        <f t="shared" si="3"/>
        <v>210</v>
      </c>
      <c r="R62" s="20">
        <f t="shared" si="27"/>
        <v>4675</v>
      </c>
      <c r="S62" s="33">
        <f t="shared" si="4"/>
        <v>3.9298395721925132</v>
      </c>
      <c r="T62" s="26">
        <f t="shared" si="5"/>
        <v>3.6012834224598929</v>
      </c>
      <c r="U62" s="34">
        <f t="shared" si="6"/>
        <v>0.80855614973262036</v>
      </c>
      <c r="V62" s="13">
        <f t="shared" si="7"/>
        <v>8.3396791443850269</v>
      </c>
      <c r="W62" s="123">
        <f t="shared" si="26"/>
        <v>0</v>
      </c>
      <c r="X62" s="4">
        <f t="shared" si="8"/>
        <v>8.3396791443850269</v>
      </c>
      <c r="Y62" s="72">
        <f t="shared" si="9"/>
        <v>0</v>
      </c>
      <c r="Z62" s="72">
        <f>IF(X62&gt;0,X62,0)*2+IF((W62+X62)&gt;12,(W62+X62)-12,0)*2+IF((W62+X62)&gt;13,(W62+X62)-13,0)*2+IF((W62+X62)&gt;14,(W62+X62)-14,0)*2+IF((W62+X62)&gt;15,(W62+X62)-15,0)*2+IF((W62+X62)&gt;16,(W62+X62)-16,0)*2+IF((W62+X62)&gt;17,(W62+X62)-17,0)*2+IF((W62+X62)&gt;18,(W62+X62)-18,0)*2+IF((W62+X62)&gt;19,(W62+X62)-19,0)*2+IF((W62+X62)&gt;20,(W62+X62)-20,0)*2</f>
        <v>16.679358288770054</v>
      </c>
      <c r="AA62" s="11"/>
      <c r="AB62" s="11"/>
    </row>
    <row r="63" spans="1:28">
      <c r="A63" s="17" t="s">
        <v>56</v>
      </c>
      <c r="B63" s="9" t="s">
        <v>104</v>
      </c>
      <c r="C63" s="68" t="s">
        <v>140</v>
      </c>
      <c r="D63" s="20"/>
      <c r="E63" s="21">
        <f>Konvention_1slave-KLslave</f>
        <v>5</v>
      </c>
      <c r="F63" s="21"/>
      <c r="G63" s="21"/>
      <c r="H63" s="21">
        <f t="shared" ref="H63:H72" si="28">Konvention_1slave-FFslave</f>
        <v>6</v>
      </c>
      <c r="I63" s="21"/>
      <c r="J63" s="21"/>
      <c r="K63" s="22"/>
      <c r="L63" s="27">
        <f>(E63+H63+H63)/3</f>
        <v>5.666666666666667</v>
      </c>
      <c r="M63" s="27">
        <f t="shared" si="1"/>
        <v>11.333333333333334</v>
      </c>
      <c r="N63" s="32">
        <f t="shared" si="2"/>
        <v>17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3029</v>
      </c>
      <c r="P63" s="11">
        <f>E63*H63*FFslave+E63*FFslave*H63+KLslave*H63*H63</f>
        <v>1284</v>
      </c>
      <c r="Q63" s="22">
        <f>IFERROR(D63^SIGN(D63),1)*IFERROR(E63^SIGN(E63),1)*IFERROR(F63^SIGN(F63),1)*IFERROR(G63^SIGN(G63),1)*IFERROR(H63^SIGN(H63),1)*IFERROR(I63^SIGN(I63),1)*IFERROR(J63^SIGN(J63),1)*IFERROR(K63^SIGN(K63),1)*IFERROR(H63^SIGN(H63),1)</f>
        <v>180</v>
      </c>
      <c r="R63" s="20">
        <f t="shared" si="27"/>
        <v>4493</v>
      </c>
      <c r="S63" s="33">
        <f t="shared" si="4"/>
        <v>3.8202388901253808</v>
      </c>
      <c r="T63" s="26">
        <f t="shared" si="5"/>
        <v>3.2388159359002895</v>
      </c>
      <c r="U63" s="34">
        <f t="shared" si="6"/>
        <v>0.68105942577342538</v>
      </c>
      <c r="V63" s="13">
        <f t="shared" si="7"/>
        <v>7.7401142517990964</v>
      </c>
      <c r="W63" s="123">
        <f t="shared" si="26"/>
        <v>0</v>
      </c>
      <c r="X63" s="4">
        <f t="shared" si="8"/>
        <v>7.7401142517990964</v>
      </c>
      <c r="Y63" s="72">
        <f t="shared" si="9"/>
        <v>0</v>
      </c>
      <c r="Z63" s="72">
        <f>IF(X63&gt;0,X63,0)*4+IF((W63+X63)&gt;12,(W63+X63)-12,0)*4+IF((W63+X63)&gt;13,(W63+X63)-13,0)*4+IF((W63+X63)&gt;14,(W63+X63)-14,0)*4+IF((W63+X63)&gt;15,(W63+X63)-15,0)*4+IF((W63+X63)&gt;16,(W63+X63)-16,0)*4+IF((W63+X63)&gt;17,(W63+X63)-17,0)*4+IF((W63+X63)&gt;18,(W63+X63)-18,0)*4+IF((W63+X63)&gt;19,(W63+X63)-19,0)*4+IF((W63+X63)&gt;20,(W63+X63)-20,0)*4</f>
        <v>30.960457007196386</v>
      </c>
      <c r="AA63" s="11"/>
      <c r="AB63" s="11"/>
    </row>
    <row r="64" spans="1:28">
      <c r="A64" s="17" t="s">
        <v>57</v>
      </c>
      <c r="B64" s="9" t="s">
        <v>100</v>
      </c>
      <c r="C64" s="68" t="s">
        <v>138</v>
      </c>
      <c r="D64" s="20"/>
      <c r="E64" s="21"/>
      <c r="F64" s="21"/>
      <c r="G64" s="21"/>
      <c r="H64" s="21">
        <f t="shared" si="28"/>
        <v>6</v>
      </c>
      <c r="I64" s="21">
        <f>Konvention_1slave-GEslave</f>
        <v>7</v>
      </c>
      <c r="J64" s="21"/>
      <c r="K64" s="22">
        <f>Konvention_1slave-KKslave</f>
        <v>10</v>
      </c>
      <c r="L64" s="27">
        <f>(D64+E64+F64+G64+H64+I64+J64+K64)/3</f>
        <v>7.666666666666667</v>
      </c>
      <c r="M64" s="27">
        <f t="shared" si="1"/>
        <v>15.333333333333334</v>
      </c>
      <c r="N64" s="32">
        <f t="shared" si="2"/>
        <v>23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3027</v>
      </c>
      <c r="P64" s="11">
        <f>H64*I64*KKslave+H64*GEslave*K64+FFslave*I64*K64</f>
        <v>2008</v>
      </c>
      <c r="Q64" s="22">
        <f t="shared" si="3"/>
        <v>420</v>
      </c>
      <c r="R64" s="20">
        <f t="shared" si="27"/>
        <v>5455</v>
      </c>
      <c r="S64" s="33">
        <f t="shared" si="4"/>
        <v>4.254262144821265</v>
      </c>
      <c r="T64" s="26">
        <f t="shared" si="5"/>
        <v>5.644240757714635</v>
      </c>
      <c r="U64" s="34">
        <f t="shared" si="6"/>
        <v>1.7708524289642529</v>
      </c>
      <c r="V64" s="13">
        <f t="shared" si="7"/>
        <v>11.669355331500151</v>
      </c>
      <c r="W64" s="123">
        <f t="shared" si="26"/>
        <v>0</v>
      </c>
      <c r="X64" s="4">
        <f t="shared" si="8"/>
        <v>11.669355331500151</v>
      </c>
      <c r="Y64" s="72">
        <f t="shared" si="9"/>
        <v>0</v>
      </c>
      <c r="Z64" s="72">
        <f>IF(X64&gt;0,X64,0)*2+IF((W64+X64)&gt;12,(W64+X64)-12,0)*2+IF((W64+X64)&gt;13,(W64+X64)-13,0)*2+IF((W64+X64)&gt;14,(W64+X64)-14,0)*2+IF((W64+X64)&gt;15,(W64+X64)-15,0)*2+IF((W64+X64)&gt;16,(W64+X64)-16,0)*2+IF((W64+X64)&gt;17,(W64+X64)-17,0)*2+IF((W64+X64)&gt;18,(W64+X64)-18,0)*2+IF((W64+X64)&gt;19,(W64+X64)-19,0)*2+IF((W64+X64)&gt;20,(W64+X64)-20,0)*2</f>
        <v>23.338710663000303</v>
      </c>
      <c r="AA64" s="11"/>
      <c r="AB64" s="11"/>
    </row>
    <row r="65" spans="1:28">
      <c r="A65" s="17" t="s">
        <v>58</v>
      </c>
      <c r="B65" s="9" t="s">
        <v>105</v>
      </c>
      <c r="C65" s="68" t="s">
        <v>139</v>
      </c>
      <c r="D65" s="20"/>
      <c r="E65" s="21"/>
      <c r="F65" s="21">
        <f>Konvention_1slave-INslave</f>
        <v>5</v>
      </c>
      <c r="G65" s="21"/>
      <c r="H65" s="21">
        <f t="shared" si="28"/>
        <v>6</v>
      </c>
      <c r="I65" s="21"/>
      <c r="J65" s="21"/>
      <c r="K65" s="22"/>
      <c r="L65" s="27">
        <f>(F65+H65+H65)/3</f>
        <v>5.666666666666667</v>
      </c>
      <c r="M65" s="27">
        <f t="shared" si="1"/>
        <v>11.333333333333334</v>
      </c>
      <c r="N65" s="32">
        <f t="shared" si="2"/>
        <v>17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3029</v>
      </c>
      <c r="P65" s="11">
        <f>F65*H65*FFslave+F65*FFslave*H65+INslave*H65*H65</f>
        <v>1284</v>
      </c>
      <c r="Q65" s="22">
        <f>IFERROR(D65^SIGN(D65),1)*IFERROR(E65^SIGN(E65),1)*IFERROR(F65^SIGN(F65),1)*IFERROR(G65^SIGN(G65),1)*IFERROR(H65^SIGN(H65),1)*IFERROR(I65^SIGN(I65),1)*IFERROR(J65^SIGN(J65),1)*IFERROR(K65^SIGN(K65),1)*IFERROR(H65^SIGN(H65),1)</f>
        <v>180</v>
      </c>
      <c r="R65" s="20">
        <f t="shared" si="27"/>
        <v>4493</v>
      </c>
      <c r="S65" s="33">
        <f t="shared" si="4"/>
        <v>3.8202388901253808</v>
      </c>
      <c r="T65" s="26">
        <f t="shared" si="5"/>
        <v>3.2388159359002895</v>
      </c>
      <c r="U65" s="34">
        <f t="shared" si="6"/>
        <v>0.68105942577342538</v>
      </c>
      <c r="V65" s="13">
        <f t="shared" si="7"/>
        <v>7.7401142517990964</v>
      </c>
      <c r="W65" s="123">
        <f t="shared" si="26"/>
        <v>0</v>
      </c>
      <c r="X65" s="4">
        <f t="shared" si="8"/>
        <v>7.7401142517990964</v>
      </c>
      <c r="Y65" s="72">
        <f t="shared" si="9"/>
        <v>0</v>
      </c>
      <c r="Z65" s="72">
        <f>IF(X65&gt;0,X65,0)*1+IF((W65+X65)&gt;12,(W65+X65)-12,0)*1+IF((W65+X65)&gt;13,(W65+X65)-13,0)*1+IF((W65+X65)&gt;14,(W65+X65)-14,0)*1+IF((W65+X65)&gt;15,(W65+X65)-15,0)*1+IF((W65+X65)&gt;16,(W65+X65)-16,0)*1+IF((W65+X65)&gt;17,(W65+X65)-17,0)*1+IF((W65+X65)&gt;18,(W65+X65)-18,0)*1+IF((W65+X65)&gt;19,(W65+X65)-19,0)*1+IF((W65+X65)&gt;20,(W65+X65)-20,0)*1</f>
        <v>7.7401142517990964</v>
      </c>
      <c r="AA65" s="11"/>
      <c r="AB65" s="11"/>
    </row>
    <row r="66" spans="1:28">
      <c r="A66" s="17" t="s">
        <v>59</v>
      </c>
      <c r="B66" s="9" t="s">
        <v>92</v>
      </c>
      <c r="C66" s="68" t="s">
        <v>138</v>
      </c>
      <c r="D66" s="20"/>
      <c r="E66" s="21"/>
      <c r="F66" s="21"/>
      <c r="G66" s="21"/>
      <c r="H66" s="21">
        <f t="shared" si="28"/>
        <v>6</v>
      </c>
      <c r="I66" s="21">
        <f>Konvention_1slave-GEslave</f>
        <v>7</v>
      </c>
      <c r="J66" s="21">
        <f>Konvention_1slave-KOslave</f>
        <v>6</v>
      </c>
      <c r="K66" s="22"/>
      <c r="L66" s="27">
        <f>(D66+E66+F66+G66+H66+I66+J66+K66)/3</f>
        <v>6.333333333333333</v>
      </c>
      <c r="M66" s="27">
        <f t="shared" si="1"/>
        <v>12.666666666666666</v>
      </c>
      <c r="N66" s="32">
        <f t="shared" si="2"/>
        <v>19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3055</v>
      </c>
      <c r="P66" s="11">
        <f>H66*I66*KOslave+H66*GEslave*J66+FFslave*I66*J66</f>
        <v>1524</v>
      </c>
      <c r="Q66" s="22">
        <f t="shared" si="3"/>
        <v>252</v>
      </c>
      <c r="R66" s="20">
        <f t="shared" si="27"/>
        <v>4831</v>
      </c>
      <c r="S66" s="33">
        <f t="shared" si="4"/>
        <v>4.0050369143724556</v>
      </c>
      <c r="T66" s="26">
        <f t="shared" si="5"/>
        <v>3.9958600703788036</v>
      </c>
      <c r="U66" s="34">
        <f t="shared" si="6"/>
        <v>0.99109915131442761</v>
      </c>
      <c r="V66" s="13">
        <f t="shared" si="7"/>
        <v>8.991996136065687</v>
      </c>
      <c r="W66" s="123">
        <f t="shared" si="26"/>
        <v>0</v>
      </c>
      <c r="X66" s="4">
        <f t="shared" si="8"/>
        <v>8.991996136065687</v>
      </c>
      <c r="Y66" s="72">
        <f t="shared" si="9"/>
        <v>0</v>
      </c>
      <c r="Z66" s="72">
        <f>IF(X66&gt;0,X66,0)*2+IF((W66+X66)&gt;12,(W66+X66)-12,0)*2+IF((W66+X66)&gt;13,(W66+X66)-13,0)*2+IF((W66+X66)&gt;14,(W66+X66)-14,0)*2+IF((W66+X66)&gt;15,(W66+X66)-15,0)*2+IF((W66+X66)&gt;16,(W66+X66)-16,0)*2+IF((W66+X66)&gt;17,(W66+X66)-17,0)*2+IF((W66+X66)&gt;18,(W66+X66)-18,0)*2+IF((W66+X66)&gt;19,(W66+X66)-19,0)*2+IF((W66+X66)&gt;20,(W66+X66)-20,0)*2</f>
        <v>17.983992272131374</v>
      </c>
      <c r="AA66" s="11"/>
      <c r="AB66" s="11"/>
    </row>
    <row r="67" spans="1:28">
      <c r="A67" s="17" t="s">
        <v>60</v>
      </c>
      <c r="B67" s="9" t="s">
        <v>105</v>
      </c>
      <c r="C67" s="68" t="s">
        <v>139</v>
      </c>
      <c r="D67" s="20"/>
      <c r="E67" s="21"/>
      <c r="F67" s="21">
        <f>Konvention_1slave-INslave</f>
        <v>5</v>
      </c>
      <c r="G67" s="21"/>
      <c r="H67" s="21">
        <f t="shared" si="28"/>
        <v>6</v>
      </c>
      <c r="I67" s="21"/>
      <c r="J67" s="21"/>
      <c r="K67" s="22"/>
      <c r="L67" s="27">
        <f>(F67+H67+H67)/3</f>
        <v>5.666666666666667</v>
      </c>
      <c r="M67" s="27">
        <f t="shared" si="1"/>
        <v>11.333333333333334</v>
      </c>
      <c r="N67" s="32">
        <f t="shared" si="2"/>
        <v>17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3029</v>
      </c>
      <c r="P67" s="11">
        <f>F67*H67*FFslave+F67*FFslave*H67+INslave*H67*H67</f>
        <v>1284</v>
      </c>
      <c r="Q67" s="22">
        <f>IFERROR(D67^SIGN(D67),1)*IFERROR(E67^SIGN(E67),1)*IFERROR(F67^SIGN(F67),1)*IFERROR(G67^SIGN(G67),1)*IFERROR(H67^SIGN(H67),1)*IFERROR(I67^SIGN(I67),1)*IFERROR(J67^SIGN(J67),1)*IFERROR(K67^SIGN(K67),1)*IFERROR(H67^SIGN(H67),1)</f>
        <v>180</v>
      </c>
      <c r="R67" s="20">
        <f t="shared" si="27"/>
        <v>4493</v>
      </c>
      <c r="S67" s="33">
        <f t="shared" si="4"/>
        <v>3.8202388901253808</v>
      </c>
      <c r="T67" s="26">
        <f t="shared" si="5"/>
        <v>3.2388159359002895</v>
      </c>
      <c r="U67" s="34">
        <f t="shared" si="6"/>
        <v>0.68105942577342538</v>
      </c>
      <c r="V67" s="13">
        <f t="shared" si="7"/>
        <v>7.7401142517990964</v>
      </c>
      <c r="W67" s="123">
        <f t="shared" si="26"/>
        <v>0</v>
      </c>
      <c r="X67" s="4">
        <f t="shared" si="8"/>
        <v>7.7401142517990964</v>
      </c>
      <c r="Y67" s="72">
        <f t="shared" si="9"/>
        <v>0</v>
      </c>
      <c r="Z67" s="72">
        <f>IF(X67&gt;0,X67,0)*1+IF((W67+X67)&gt;12,(W67+X67)-12,0)*1+IF((W67+X67)&gt;13,(W67+X67)-13,0)*1+IF((W67+X67)&gt;14,(W67+X67)-14,0)*1+IF((W67+X67)&gt;15,(W67+X67)-15,0)*1+IF((W67+X67)&gt;16,(W67+X67)-16,0)*1+IF((W67+X67)&gt;17,(W67+X67)-17,0)*1+IF((W67+X67)&gt;18,(W67+X67)-18,0)*1+IF((W67+X67)&gt;19,(W67+X67)-19,0)*1+IF((W67+X67)&gt;20,(W67+X67)-20,0)*1</f>
        <v>7.7401142517990964</v>
      </c>
      <c r="AA67" s="11"/>
      <c r="AB67" s="11"/>
    </row>
    <row r="68" spans="1:28">
      <c r="A68" s="17" t="s">
        <v>61</v>
      </c>
      <c r="B68" s="9" t="s">
        <v>106</v>
      </c>
      <c r="C68" s="68" t="s">
        <v>141</v>
      </c>
      <c r="D68" s="20"/>
      <c r="E68" s="21"/>
      <c r="F68" s="21"/>
      <c r="G68" s="21"/>
      <c r="H68" s="21">
        <f t="shared" si="28"/>
        <v>6</v>
      </c>
      <c r="I68" s="21"/>
      <c r="J68" s="21">
        <f>Konvention_1slave-KOslave</f>
        <v>6</v>
      </c>
      <c r="K68" s="22">
        <f>Konvention_1slave-KKslave</f>
        <v>10</v>
      </c>
      <c r="L68" s="27">
        <f>(D68+E68+F68+G68+H68+I68+J68+K68)/3</f>
        <v>7.333333333333333</v>
      </c>
      <c r="M68" s="27">
        <f t="shared" si="1"/>
        <v>14.666666666666666</v>
      </c>
      <c r="N68" s="32">
        <f t="shared" si="2"/>
        <v>22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3094</v>
      </c>
      <c r="P68" s="11">
        <f>H68*J68*KKslave+H68*KOslave*K68+FFslave*J68*K68</f>
        <v>1884</v>
      </c>
      <c r="Q68" s="22">
        <f>IFERROR(D68^SIGN(D68),1)*IFERROR(E68^SIGN(E68),1)*IFERROR(F68^SIGN(F68),1)*IFERROR(G68^SIGN(G68),1)*IFERROR(H68^SIGN(H68),1)*IFERROR(I68^SIGN(I68),1)*IFERROR(J68^SIGN(J68),1)*IFERROR(K68^SIGN(K68),1)</f>
        <v>360</v>
      </c>
      <c r="R68" s="20">
        <f t="shared" si="27"/>
        <v>5338</v>
      </c>
      <c r="S68" s="33">
        <f t="shared" si="4"/>
        <v>4.2505307855626322</v>
      </c>
      <c r="T68" s="26">
        <f t="shared" si="5"/>
        <v>5.1764705882352944</v>
      </c>
      <c r="U68" s="34">
        <f t="shared" si="6"/>
        <v>1.4837017609591607</v>
      </c>
      <c r="V68" s="13">
        <f t="shared" si="7"/>
        <v>10.910703134757087</v>
      </c>
      <c r="W68" s="123">
        <f t="shared" si="26"/>
        <v>0</v>
      </c>
      <c r="X68" s="4">
        <f t="shared" si="8"/>
        <v>10.910703134757087</v>
      </c>
      <c r="Y68" s="72">
        <f t="shared" si="9"/>
        <v>0</v>
      </c>
      <c r="Z68" s="72">
        <f>IF(X68&gt;0,X68,0)*3+IF((W68+X68)&gt;12,(W68+X68)-12,0)*3+IF((W68+X68)&gt;13,(W68+X68)-13,0)*3+IF((W68+X68)&gt;14,(W68+X68)-14,0)*3+IF((W68+X68)&gt;15,(W68+X68)-15,0)*3+IF((W68+X68)&gt;16,(W68+X68)-16,0)*3+IF((W68+X68)&gt;17,(W68+X68)-17,0)*3+IF((W68+X68)&gt;18,(W68+X68)-18,0)*3+IF((W68+X68)&gt;19,(W68+X68)-19,0)*3+IF((W68+X68)&gt;20,(W68+X68)-20,0)*3</f>
        <v>32.732109404271263</v>
      </c>
      <c r="AA68" s="11"/>
      <c r="AB68" s="11"/>
    </row>
    <row r="69" spans="1:28">
      <c r="A69" s="17" t="s">
        <v>62</v>
      </c>
      <c r="B69" s="9" t="s">
        <v>101</v>
      </c>
      <c r="C69" s="68" t="s">
        <v>139</v>
      </c>
      <c r="D69" s="20"/>
      <c r="E69" s="21"/>
      <c r="F69" s="21"/>
      <c r="G69" s="21">
        <f>Konvention_1slave-CHslave</f>
        <v>7</v>
      </c>
      <c r="H69" s="21">
        <f t="shared" si="28"/>
        <v>6</v>
      </c>
      <c r="I69" s="21"/>
      <c r="J69" s="21">
        <f>Konvention_1slave-KOslave</f>
        <v>6</v>
      </c>
      <c r="K69" s="22"/>
      <c r="L69" s="27">
        <f>(D69+E69+F69+G69+H69+I69+J69+K69)/3</f>
        <v>6.333333333333333</v>
      </c>
      <c r="M69" s="27">
        <f t="shared" si="1"/>
        <v>12.666666666666666</v>
      </c>
      <c r="N69" s="32">
        <f t="shared" si="2"/>
        <v>19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3055</v>
      </c>
      <c r="P69" s="11">
        <f>G69*H69*KOslave+G69*FFslave*J69+CHslave*H69*J69</f>
        <v>1524</v>
      </c>
      <c r="Q69" s="22">
        <f>IFERROR(D69^SIGN(D69),1)*IFERROR(E69^SIGN(E69),1)*IFERROR(F69^SIGN(F69),1)*IFERROR(G69^SIGN(G69),1)*IFERROR(H69^SIGN(H69),1)*IFERROR(I69^SIGN(I69),1)*IFERROR(J69^SIGN(J69),1)*IFERROR(K69^SIGN(K69),1)</f>
        <v>252</v>
      </c>
      <c r="R69" s="20">
        <f t="shared" si="27"/>
        <v>4831</v>
      </c>
      <c r="S69" s="33">
        <f t="shared" si="4"/>
        <v>4.0050369143724556</v>
      </c>
      <c r="T69" s="26">
        <f t="shared" si="5"/>
        <v>3.9958600703788036</v>
      </c>
      <c r="U69" s="34">
        <f t="shared" si="6"/>
        <v>0.99109915131442761</v>
      </c>
      <c r="V69" s="13">
        <f t="shared" si="7"/>
        <v>8.991996136065687</v>
      </c>
      <c r="W69" s="123">
        <f t="shared" si="26"/>
        <v>0</v>
      </c>
      <c r="X69" s="4">
        <f t="shared" si="8"/>
        <v>8.991996136065687</v>
      </c>
      <c r="Y69" s="72">
        <f t="shared" si="9"/>
        <v>0</v>
      </c>
      <c r="Z69" s="72">
        <f>IF(X69&gt;0,X69,0)*1+IF((W69+X69)&gt;12,(W69+X69)-12,0)*1+IF((W69+X69)&gt;13,(W69+X69)-13,0)*1+IF((W69+X69)&gt;14,(W69+X69)-14,0)*1+IF((W69+X69)&gt;15,(W69+X69)-15,0)*1+IF((W69+X69)&gt;16,(W69+X69)-16,0)*1+IF((W69+X69)&gt;17,(W69+X69)-17,0)*1+IF((W69+X69)&gt;18,(W69+X69)-18,0)*1+IF((W69+X69)&gt;19,(W69+X69)-19,0)*1+IF((W69+X69)&gt;20,(W69+X69)-20,0)*1</f>
        <v>8.991996136065687</v>
      </c>
      <c r="AA69" s="11"/>
      <c r="AB69" s="11"/>
    </row>
    <row r="70" spans="1:28">
      <c r="A70" s="17" t="s">
        <v>63</v>
      </c>
      <c r="B70" s="9" t="s">
        <v>105</v>
      </c>
      <c r="C70" s="68" t="s">
        <v>141</v>
      </c>
      <c r="D70" s="20"/>
      <c r="E70" s="21"/>
      <c r="F70" s="21">
        <f>Konvention_1slave-INslave</f>
        <v>5</v>
      </c>
      <c r="G70" s="21"/>
      <c r="H70" s="21">
        <f t="shared" si="28"/>
        <v>6</v>
      </c>
      <c r="I70" s="21"/>
      <c r="J70" s="21"/>
      <c r="K70" s="22"/>
      <c r="L70" s="27">
        <f>(F70+H70+H70)/3</f>
        <v>5.666666666666667</v>
      </c>
      <c r="M70" s="27">
        <f t="shared" si="1"/>
        <v>11.333333333333334</v>
      </c>
      <c r="N70" s="32">
        <f t="shared" si="2"/>
        <v>17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3029</v>
      </c>
      <c r="P70" s="11">
        <f>F70*H70*FFslave+F70*FFslave*H70+INslave*H70*H70</f>
        <v>1284</v>
      </c>
      <c r="Q70" s="22">
        <f>IFERROR(D70^SIGN(D70),1)*IFERROR(E70^SIGN(E70),1)*IFERROR(F70^SIGN(F70),1)*IFERROR(G70^SIGN(G70),1)*IFERROR(H70^SIGN(H70),1)*IFERROR(I70^SIGN(I70),1)*IFERROR(J70^SIGN(J70),1)*IFERROR(K70^SIGN(K70),1)*IFERROR(H70^SIGN(H70),1)</f>
        <v>180</v>
      </c>
      <c r="R70" s="20">
        <f t="shared" si="27"/>
        <v>4493</v>
      </c>
      <c r="S70" s="33">
        <f t="shared" si="4"/>
        <v>3.8202388901253808</v>
      </c>
      <c r="T70" s="26">
        <f t="shared" si="5"/>
        <v>3.2388159359002895</v>
      </c>
      <c r="U70" s="34">
        <f t="shared" si="6"/>
        <v>0.68105942577342538</v>
      </c>
      <c r="V70" s="13">
        <f t="shared" si="7"/>
        <v>7.7401142517990964</v>
      </c>
      <c r="W70" s="123">
        <f t="shared" si="26"/>
        <v>0</v>
      </c>
      <c r="X70" s="4">
        <f t="shared" si="8"/>
        <v>7.7401142517990964</v>
      </c>
      <c r="Y70" s="72">
        <f t="shared" si="9"/>
        <v>0</v>
      </c>
      <c r="Z70" s="72">
        <f>IF(X70&gt;0,X70,0)*3+IF((W70+X70)&gt;12,(W70+X70)-12,0)*3+IF((W70+X70)&gt;13,(W70+X70)-13,0)*3+IF((W70+X70)&gt;14,(W70+X70)-14,0)*3+IF((W70+X70)&gt;15,(W70+X70)-15,0)*3+IF((W70+X70)&gt;16,(W70+X70)-16,0)*3+IF((W70+X70)&gt;17,(W70+X70)-17,0)*3+IF((W70+X70)&gt;18,(W70+X70)-18,0)*3+IF((W70+X70)&gt;19,(W70+X70)-19,0)*3+IF((W70+X70)&gt;20,(W70+X70)-20,0)*3</f>
        <v>23.22034275539729</v>
      </c>
      <c r="AA70" s="11"/>
      <c r="AB70" s="11"/>
    </row>
    <row r="71" spans="1:28">
      <c r="A71" s="17" t="s">
        <v>64</v>
      </c>
      <c r="B71" s="9" t="s">
        <v>107</v>
      </c>
      <c r="C71" s="68" t="s">
        <v>139</v>
      </c>
      <c r="D71" s="20"/>
      <c r="E71" s="21"/>
      <c r="F71" s="21"/>
      <c r="G71" s="21"/>
      <c r="H71" s="21">
        <f t="shared" si="28"/>
        <v>6</v>
      </c>
      <c r="I71" s="21"/>
      <c r="J71" s="21"/>
      <c r="K71" s="22">
        <f>Konvention_1slave-KKslave</f>
        <v>10</v>
      </c>
      <c r="L71" s="27">
        <f>(H71+H71+K71)/3</f>
        <v>7.333333333333333</v>
      </c>
      <c r="M71" s="27">
        <f t="shared" si="1"/>
        <v>14.666666666666666</v>
      </c>
      <c r="N71" s="32">
        <f t="shared" si="2"/>
        <v>22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3094</v>
      </c>
      <c r="P71" s="11">
        <f>H71*H71*KKslave+H71*FFslave*K71+FFslave*H71*K71</f>
        <v>1884</v>
      </c>
      <c r="Q71" s="22">
        <f>IFERROR(D71^SIGN(D71),1)*IFERROR(E71^SIGN(E71),1)*IFERROR(F71^SIGN(F71),1)*IFERROR(G71^SIGN(G71),1)*IFERROR(H71^SIGN(H71),1)*IFERROR(I71^SIGN(I71),1)*IFERROR(J71^SIGN(J71),1)*IFERROR(K71^SIGN(K71),1)*IFERROR(H71^SIGN(H71),1)</f>
        <v>360</v>
      </c>
      <c r="R71" s="20">
        <f t="shared" si="27"/>
        <v>5338</v>
      </c>
      <c r="S71" s="33">
        <f t="shared" si="4"/>
        <v>4.2505307855626322</v>
      </c>
      <c r="T71" s="26">
        <f t="shared" si="5"/>
        <v>5.1764705882352944</v>
      </c>
      <c r="U71" s="34">
        <f t="shared" si="6"/>
        <v>1.4837017609591607</v>
      </c>
      <c r="V71" s="13">
        <f t="shared" si="7"/>
        <v>10.910703134757087</v>
      </c>
      <c r="W71" s="123">
        <f t="shared" si="26"/>
        <v>0</v>
      </c>
      <c r="X71" s="4">
        <f t="shared" si="8"/>
        <v>10.910703134757087</v>
      </c>
      <c r="Y71" s="72">
        <f t="shared" si="9"/>
        <v>0</v>
      </c>
      <c r="Z71" s="72">
        <f>IF(X71&gt;0,X71,0)*1+IF((W71+X71)&gt;12,(W71+X71)-12,0)*1+IF((W71+X71)&gt;13,(W71+X71)-13,0)*1+IF((W71+X71)&gt;14,(W71+X71)-14,0)*1+IF((W71+X71)&gt;15,(W71+X71)-15,0)*1+IF((W71+X71)&gt;16,(W71+X71)-16,0)*1+IF((W71+X71)&gt;17,(W71+X71)-17,0)*1+IF((W71+X71)&gt;18,(W71+X71)-18,0)*1+IF((W71+X71)&gt;19,(W71+X71)-19,0)*1+IF((W71+X71)&gt;20,(W71+X71)-20,0)*1</f>
        <v>10.910703134757087</v>
      </c>
      <c r="AA71" s="11"/>
      <c r="AB71" s="11"/>
    </row>
    <row r="72" spans="1:28">
      <c r="A72" s="40" t="s">
        <v>66</v>
      </c>
      <c r="B72" s="10" t="s">
        <v>104</v>
      </c>
      <c r="C72" s="59" t="s">
        <v>139</v>
      </c>
      <c r="D72" s="24"/>
      <c r="E72" s="19">
        <f>Konvention_1slave-KLslave</f>
        <v>5</v>
      </c>
      <c r="F72" s="19"/>
      <c r="G72" s="19"/>
      <c r="H72" s="19">
        <f t="shared" si="28"/>
        <v>6</v>
      </c>
      <c r="I72" s="19"/>
      <c r="J72" s="19"/>
      <c r="K72" s="23"/>
      <c r="L72" s="25">
        <f>(E72+H72+H72)/3</f>
        <v>5.666666666666667</v>
      </c>
      <c r="M72" s="25">
        <f t="shared" si="1"/>
        <v>11.333333333333334</v>
      </c>
      <c r="N72" s="36">
        <f t="shared" si="2"/>
        <v>17</v>
      </c>
      <c r="O72" s="19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3029</v>
      </c>
      <c r="P72" s="19">
        <f>E72*H72*FFslave+E72*FFslave*H72+KLslave*H72*H72</f>
        <v>1284</v>
      </c>
      <c r="Q72" s="23">
        <f>IFERROR(D72^SIGN(D72),1)*IFERROR(E72^SIGN(E72),1)*IFERROR(F72^SIGN(F72),1)*IFERROR(G72^SIGN(G72),1)*IFERROR(H72^SIGN(H72),1)*IFERROR(I72^SIGN(I72),1)*IFERROR(J72^SIGN(J72),1)*IFERROR(K72^SIGN(K72),1)*IFERROR(H72^SIGN(H72),1)</f>
        <v>180</v>
      </c>
      <c r="R72" s="24">
        <f>SUM(O72:Q72)</f>
        <v>4493</v>
      </c>
      <c r="S72" s="37">
        <f t="shared" si="4"/>
        <v>3.8202388901253808</v>
      </c>
      <c r="T72" s="25">
        <f t="shared" si="5"/>
        <v>3.2388159359002895</v>
      </c>
      <c r="U72" s="38">
        <f t="shared" si="6"/>
        <v>0.68105942577342538</v>
      </c>
      <c r="V72" s="14">
        <f t="shared" si="7"/>
        <v>7.7401142517990964</v>
      </c>
      <c r="W72" s="123">
        <f t="shared" si="26"/>
        <v>0</v>
      </c>
      <c r="X72" s="5">
        <f t="shared" si="8"/>
        <v>7.7401142517990964</v>
      </c>
      <c r="Y72" s="73">
        <f t="shared" si="9"/>
        <v>0</v>
      </c>
      <c r="Z72" s="73">
        <f>IF(X72&gt;0,X72,0)*1+IF((W72+X72)&gt;12,(W72+X72)-12,0)*1+IF((W72+X72)&gt;13,(W72+X72)-13,0)*1+IF((W72+X72)&gt;14,(W72+X72)-14,0)*1+IF((W72+X72)&gt;15,(W72+X72)-15,0)*1+IF((W72+X72)&gt;16,(W72+X72)-16,0)*1+IF((W72+X72)&gt;17,(W72+X72)-17,0)*1+IF((W72+X72)&gt;18,(W72+X72)-18,0)*1+IF((W72+X72)&gt;19,(W72+X72)-19,0)*1+IF((W72+X72)&gt;20,(W72+X72)-20,0)*1</f>
        <v>7.7401142517990964</v>
      </c>
      <c r="AA72" s="11"/>
      <c r="AB72" s="11"/>
    </row>
    <row r="73" spans="1:28">
      <c r="N73" s="41"/>
      <c r="S73" s="27"/>
      <c r="T73" s="27"/>
      <c r="U73" s="27"/>
      <c r="V73" s="15"/>
      <c r="W73" s="11"/>
      <c r="Y73" s="11"/>
      <c r="Z73" s="11"/>
    </row>
    <row r="74" spans="1:28" ht="15.75" thickBot="1">
      <c r="N74" s="41"/>
      <c r="O74" s="29">
        <f>AVERAGE(O10:O72)</f>
        <v>3020.4576271186443</v>
      </c>
      <c r="P74" s="30">
        <f>AVERAGE(P10:P72)</f>
        <v>1380.7796610169491</v>
      </c>
      <c r="Q74" s="31">
        <f>AVERAGE(Q10:Q72)</f>
        <v>214.18644067796609</v>
      </c>
      <c r="R74" s="31">
        <f>O74+P74+Q74</f>
        <v>4615.4237288135591</v>
      </c>
      <c r="W74" s="11"/>
      <c r="Y74" s="11"/>
      <c r="Z74" s="11"/>
    </row>
    <row r="75" spans="1:28" ht="15.75" thickBot="1">
      <c r="D75" s="162" t="s">
        <v>179</v>
      </c>
      <c r="E75" s="163"/>
      <c r="F75" s="163"/>
      <c r="G75" s="163"/>
      <c r="H75" s="163"/>
      <c r="I75" s="163"/>
      <c r="J75" s="164">
        <f>AVERAGE(D78:K78)</f>
        <v>114.375</v>
      </c>
      <c r="K75" s="179"/>
      <c r="N75" s="41"/>
      <c r="O75" s="33" t="s">
        <v>115</v>
      </c>
      <c r="P75" s="26" t="s">
        <v>115</v>
      </c>
      <c r="Q75" s="34" t="s">
        <v>115</v>
      </c>
      <c r="R75" s="34" t="s">
        <v>115</v>
      </c>
      <c r="S75" s="27"/>
      <c r="T75" s="27"/>
      <c r="U75" s="54" t="s">
        <v>120</v>
      </c>
      <c r="V75" s="55">
        <f>V78/COUNT(V10:V72)</f>
        <v>8.2792911720546396</v>
      </c>
      <c r="W75" s="56">
        <f>W78/COUNT(W10:W72)</f>
        <v>0</v>
      </c>
      <c r="X75" s="56">
        <f>X78/COUNTIF(X10:X72,"&gt;0")</f>
        <v>8.2792911720546396</v>
      </c>
      <c r="Y75" s="138">
        <v>0</v>
      </c>
      <c r="Z75" s="74">
        <f>Z78/COUNTIF(Z10:Z72,"&gt;0")</f>
        <v>17.338218144546126</v>
      </c>
    </row>
    <row r="76" spans="1:28">
      <c r="D76" s="1"/>
      <c r="E76" s="1"/>
      <c r="F76" s="1"/>
      <c r="G76" s="1"/>
      <c r="H76" s="1"/>
      <c r="I76" s="1"/>
      <c r="J76" s="1"/>
      <c r="K76" s="1"/>
      <c r="N76" s="41"/>
      <c r="O76" s="42">
        <f>Konvention_1master^3</f>
        <v>6859</v>
      </c>
      <c r="P76" s="39">
        <f>Konvention_1master^3</f>
        <v>6859</v>
      </c>
      <c r="Q76" s="36">
        <f>Konvention_1master^3</f>
        <v>6859</v>
      </c>
      <c r="R76" s="32">
        <f>Konvention_1master^3</f>
        <v>6859</v>
      </c>
      <c r="S76" s="27"/>
      <c r="T76" s="27"/>
      <c r="U76" s="27"/>
      <c r="V76" s="1"/>
      <c r="W76" s="11"/>
    </row>
    <row r="77" spans="1:28" ht="15.75" thickBot="1">
      <c r="D77" s="1"/>
      <c r="E77" s="1"/>
      <c r="F77" s="1"/>
      <c r="G77" s="1"/>
      <c r="H77" s="1"/>
      <c r="I77" s="1"/>
      <c r="J77" s="1"/>
      <c r="K77" s="1"/>
      <c r="N77" s="41"/>
      <c r="O77" s="26"/>
      <c r="P77" s="26"/>
      <c r="Q77" s="26"/>
      <c r="R77" s="30"/>
      <c r="S77" s="27"/>
      <c r="T77" s="27"/>
      <c r="U77" s="27"/>
      <c r="V77" s="1"/>
      <c r="W77" s="11"/>
    </row>
    <row r="78" spans="1:28">
      <c r="D78" s="44">
        <f>SUM(D10:D72)</f>
        <v>90</v>
      </c>
      <c r="E78" s="45">
        <f t="shared" ref="E78:K78" si="29">SUM(E10:E72)</f>
        <v>140</v>
      </c>
      <c r="F78" s="45">
        <f t="shared" si="29"/>
        <v>150</v>
      </c>
      <c r="G78" s="45">
        <f t="shared" si="29"/>
        <v>126</v>
      </c>
      <c r="H78" s="45">
        <f t="shared" si="29"/>
        <v>114</v>
      </c>
      <c r="I78" s="45">
        <f t="shared" si="29"/>
        <v>105</v>
      </c>
      <c r="J78" s="45">
        <f t="shared" si="29"/>
        <v>90</v>
      </c>
      <c r="K78" s="46">
        <f t="shared" si="29"/>
        <v>100</v>
      </c>
      <c r="L78" s="50">
        <f>SUM(L10:L72)</f>
        <v>350.00000000000006</v>
      </c>
      <c r="M78" s="51">
        <f>SUM(M10:M72)</f>
        <v>700.00000000000011</v>
      </c>
      <c r="N78" s="52">
        <f>SUM(N10:N72)</f>
        <v>1050</v>
      </c>
      <c r="O78" s="47">
        <f>O74/O76</f>
        <v>0.44036413866724655</v>
      </c>
      <c r="P78" s="48">
        <f>P74/P76</f>
        <v>0.20130917932890349</v>
      </c>
      <c r="Q78" s="49">
        <f>Q74/Q76</f>
        <v>3.1227065268693118E-2</v>
      </c>
      <c r="R78" s="47">
        <f>O78+P78+Q78</f>
        <v>0.67290038326484314</v>
      </c>
      <c r="S78" s="47">
        <f>L78*O74/R74</f>
        <v>229.04942895964166</v>
      </c>
      <c r="T78" s="48">
        <f>M78*P74/R74</f>
        <v>209.41647387169039</v>
      </c>
      <c r="U78" s="49">
        <f>N78*Q74/R74</f>
        <v>48.727002313539714</v>
      </c>
      <c r="V78" s="53">
        <f>SUMIF(V10:V72,"&gt;0")</f>
        <v>488.47817915122369</v>
      </c>
      <c r="W78" s="66">
        <f>SUM(W10:W72)</f>
        <v>0</v>
      </c>
      <c r="X78" s="53">
        <f>SUMIF(X10:X72,"&gt;0")</f>
        <v>488.47817915122369</v>
      </c>
      <c r="Y78" s="53">
        <f>SUMIF(Y10:Y72,"&gt;0")</f>
        <v>0</v>
      </c>
      <c r="Z78" s="86">
        <f>SUMIF(Z10:Z72,"&gt;0")</f>
        <v>1022.9548705282215</v>
      </c>
    </row>
    <row r="79" spans="1:28" ht="15.75" thickBot="1">
      <c r="D79" s="159" t="s">
        <v>121</v>
      </c>
      <c r="E79" s="160"/>
      <c r="F79" s="160"/>
      <c r="G79" s="160"/>
      <c r="H79" s="160"/>
      <c r="I79" s="160"/>
      <c r="J79" s="160"/>
      <c r="K79" s="161"/>
      <c r="L79" s="147" t="s">
        <v>119</v>
      </c>
      <c r="M79" s="148"/>
      <c r="N79" s="149"/>
      <c r="O79" s="150" t="s">
        <v>114</v>
      </c>
      <c r="P79" s="151"/>
      <c r="Q79" s="152"/>
      <c r="R79" s="63" t="s">
        <v>117</v>
      </c>
      <c r="S79" s="150" t="s">
        <v>126</v>
      </c>
      <c r="T79" s="151"/>
      <c r="U79" s="152"/>
      <c r="V79" s="63" t="s">
        <v>124</v>
      </c>
      <c r="W79" s="63" t="s">
        <v>125</v>
      </c>
      <c r="X79" s="57" t="s">
        <v>127</v>
      </c>
      <c r="Y79" s="75" t="s">
        <v>143</v>
      </c>
      <c r="Z79" s="75" t="s">
        <v>142</v>
      </c>
    </row>
    <row r="80" spans="1:28" ht="15.75" thickBot="1"/>
    <row r="81" spans="1:26">
      <c r="A81" s="18"/>
      <c r="B81" s="18"/>
      <c r="C81" s="18"/>
      <c r="D81" s="18"/>
      <c r="E81" s="18"/>
      <c r="F81" s="18"/>
      <c r="X81" s="53">
        <f>SUMIF(X10:X72,"&lt;0")</f>
        <v>0</v>
      </c>
      <c r="Z81" s="84"/>
    </row>
    <row r="82" spans="1:26" ht="15.7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 s="57" t="s">
        <v>134</v>
      </c>
      <c r="Z82" s="84"/>
    </row>
    <row r="83" spans="1:2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Z83" s="84"/>
    </row>
    <row r="84" spans="1:2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Z84" s="84"/>
    </row>
    <row r="85" spans="1:26">
      <c r="A85"/>
      <c r="B85" s="128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6">
      <c r="A88"/>
      <c r="B88"/>
      <c r="C88"/>
      <c r="D88"/>
      <c r="E88"/>
      <c r="F88"/>
      <c r="G88"/>
      <c r="H88"/>
      <c r="I88"/>
      <c r="J88"/>
      <c r="K88"/>
      <c r="L88"/>
      <c r="M88" s="127"/>
      <c r="N88"/>
      <c r="O88"/>
      <c r="P88"/>
      <c r="Q88"/>
      <c r="R88"/>
      <c r="S88"/>
      <c r="T88"/>
      <c r="U88"/>
      <c r="V88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 s="126"/>
      <c r="N89"/>
      <c r="O89"/>
      <c r="P89"/>
      <c r="Q89"/>
      <c r="R89"/>
      <c r="S89"/>
      <c r="T89"/>
      <c r="U89" s="181"/>
      <c r="V89" s="181"/>
      <c r="W89" s="180"/>
    </row>
    <row r="90" spans="1:26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6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V10:V23 V25:V33 V35:V41 V43:V54 V56:V72 V75">
    <cfRule type="colorScale" priority="136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1" priority="74" operator="lessThanOrEqual">
      <formula>0</formula>
    </cfRule>
  </conditionalFormatting>
  <conditionalFormatting sqref="J75:K75 D78:K78">
    <cfRule type="colorScale" priority="73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X56:X75 X43:X54 X35:X41 X10:X23 X25:X33">
    <cfRule type="colorScale" priority="72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V10:V23">
    <cfRule type="colorScale" priority="71">
      <colorScale>
        <cfvo type="min" val="0"/>
        <cfvo type="num" val="$V$75"/>
        <cfvo type="max" val="0"/>
        <color rgb="FF00B050"/>
        <color rgb="FFFFFF00"/>
        <color rgb="FFFF0000"/>
      </colorScale>
    </cfRule>
  </conditionalFormatting>
  <conditionalFormatting sqref="S10:U10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2:U12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4:U14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:U16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8:U18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0:U20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2:U22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5:U25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7:U2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9:U29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1:U31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3:U3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1:U11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3:U1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5:U15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7:U17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9:U19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1:U21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3:U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6:U26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28:U28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0:U30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2:U32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5:U35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6:U3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7:U37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8:U38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9:U3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0:U4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1:U41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3:U4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4:U4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5:U45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6:U46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7:U47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8:U48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49:U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0:U50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1:U51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2:U5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3:U5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4:U5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6:U56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7:U57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8:U58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59:U5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0:U6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1:U6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2:U6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3:U6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4:U6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5:U6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6:U6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7:U6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8:U68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69:U6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0:U7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1:U7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72:U7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:AA7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0:AC7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X56:X72 X43:X54 X35:X41 X10:X23 X25:X33">
    <cfRule type="cellIs" dxfId="0" priority="9" operator="lessThanOrEqual">
      <formula>0</formula>
    </cfRule>
  </conditionalFormatting>
  <conditionalFormatting sqref="X56:X75">
    <cfRule type="colorScale" priority="7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5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X10: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Z10:Z75">
    <cfRule type="colorScale" priority="3">
      <colorScale>
        <cfvo type="min" val="0"/>
        <cfvo type="num" val="$Z$75/2"/>
        <cfvo type="max" val="0"/>
        <color rgb="FF63BE7B"/>
        <color rgb="FFFFEB84"/>
        <color rgb="FFF8696B"/>
      </colorScale>
    </cfRule>
  </conditionalFormatting>
  <conditionalFormatting sqref="P5">
    <cfRule type="colorScale" priority="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83</vt:i4>
      </vt:variant>
    </vt:vector>
  </HeadingPairs>
  <TitlesOfParts>
    <vt:vector size="92" baseType="lpstr">
      <vt:lpstr>Master</vt:lpstr>
      <vt:lpstr>MU+1</vt:lpstr>
      <vt:lpstr>KL+1</vt:lpstr>
      <vt:lpstr>IN+1</vt:lpstr>
      <vt:lpstr>CH+1</vt:lpstr>
      <vt:lpstr>FF+1</vt:lpstr>
      <vt:lpstr>GE+1</vt:lpstr>
      <vt:lpstr>KO+1</vt:lpstr>
      <vt:lpstr>KK+1</vt:lpstr>
      <vt:lpstr>AP_erhalten</vt:lpstr>
      <vt:lpstr>CHmaster</vt:lpstr>
      <vt:lpstr>'CH+1'!CHslave</vt:lpstr>
      <vt:lpstr>'FF+1'!CHslave</vt:lpstr>
      <vt:lpstr>'GE+1'!CHslave</vt:lpstr>
      <vt:lpstr>'IN+1'!CHslave</vt:lpstr>
      <vt:lpstr>'KK+1'!CHslave</vt:lpstr>
      <vt:lpstr>'KL+1'!CHslave</vt:lpstr>
      <vt:lpstr>'KO+1'!CHslave</vt:lpstr>
      <vt:lpstr>'MU+1'!CHslave</vt:lpstr>
      <vt:lpstr>FFmaster</vt:lpstr>
      <vt:lpstr>'CH+1'!FFslave</vt:lpstr>
      <vt:lpstr>'FF+1'!FFslave</vt:lpstr>
      <vt:lpstr>'GE+1'!FFslave</vt:lpstr>
      <vt:lpstr>'IN+1'!FFslave</vt:lpstr>
      <vt:lpstr>'KK+1'!FFslave</vt:lpstr>
      <vt:lpstr>'KL+1'!FFslave</vt:lpstr>
      <vt:lpstr>'KO+1'!FFslave</vt:lpstr>
      <vt:lpstr>'MU+1'!FFslave</vt:lpstr>
      <vt:lpstr>GEmaster</vt:lpstr>
      <vt:lpstr>'CH+1'!GEslave</vt:lpstr>
      <vt:lpstr>'FF+1'!GEslave</vt:lpstr>
      <vt:lpstr>'GE+1'!GEslave</vt:lpstr>
      <vt:lpstr>'IN+1'!GEslave</vt:lpstr>
      <vt:lpstr>'KK+1'!GEslave</vt:lpstr>
      <vt:lpstr>'KL+1'!GEslave</vt:lpstr>
      <vt:lpstr>'KO+1'!GEslave</vt:lpstr>
      <vt:lpstr>'MU+1'!GEslave</vt:lpstr>
      <vt:lpstr>INmaster</vt:lpstr>
      <vt:lpstr>'CH+1'!INslave</vt:lpstr>
      <vt:lpstr>'FF+1'!INslave</vt:lpstr>
      <vt:lpstr>'GE+1'!INslave</vt:lpstr>
      <vt:lpstr>'IN+1'!INslave</vt:lpstr>
      <vt:lpstr>'KK+1'!INslave</vt:lpstr>
      <vt:lpstr>'KL+1'!INslave</vt:lpstr>
      <vt:lpstr>'KO+1'!INslave</vt:lpstr>
      <vt:lpstr>'MU+1'!INslave</vt:lpstr>
      <vt:lpstr>Istwerte</vt:lpstr>
      <vt:lpstr>KKmaster</vt:lpstr>
      <vt:lpstr>'CH+1'!KKslave</vt:lpstr>
      <vt:lpstr>'FF+1'!KKslave</vt:lpstr>
      <vt:lpstr>'GE+1'!KKslave</vt:lpstr>
      <vt:lpstr>'IN+1'!KKslave</vt:lpstr>
      <vt:lpstr>'KK+1'!KKslave</vt:lpstr>
      <vt:lpstr>'KL+1'!KKslave</vt:lpstr>
      <vt:lpstr>'KO+1'!KKslave</vt:lpstr>
      <vt:lpstr>'MU+1'!KKslave</vt:lpstr>
      <vt:lpstr>KLmaster</vt:lpstr>
      <vt:lpstr>'CH+1'!KLslave</vt:lpstr>
      <vt:lpstr>'FF+1'!KLslave</vt:lpstr>
      <vt:lpstr>'GE+1'!KLslave</vt:lpstr>
      <vt:lpstr>'IN+1'!KLslave</vt:lpstr>
      <vt:lpstr>'KK+1'!KLslave</vt:lpstr>
      <vt:lpstr>'KL+1'!KLslave</vt:lpstr>
      <vt:lpstr>'KO+1'!KLslave</vt:lpstr>
      <vt:lpstr>'MU+1'!KLslave</vt:lpstr>
      <vt:lpstr>KOmaster</vt:lpstr>
      <vt:lpstr>Konvention_1master</vt:lpstr>
      <vt:lpstr>'CH+1'!Konvention_1slave</vt:lpstr>
      <vt:lpstr>'FF+1'!Konvention_1slave</vt:lpstr>
      <vt:lpstr>'GE+1'!Konvention_1slave</vt:lpstr>
      <vt:lpstr>'IN+1'!Konvention_1slave</vt:lpstr>
      <vt:lpstr>'KK+1'!Konvention_1slave</vt:lpstr>
      <vt:lpstr>'KL+1'!Konvention_1slave</vt:lpstr>
      <vt:lpstr>'KO+1'!Konvention_1slave</vt:lpstr>
      <vt:lpstr>'MU+1'!Konvention_1slave</vt:lpstr>
      <vt:lpstr>'CH+1'!KOslave</vt:lpstr>
      <vt:lpstr>'FF+1'!KOslave</vt:lpstr>
      <vt:lpstr>'GE+1'!KOslave</vt:lpstr>
      <vt:lpstr>'IN+1'!KOslave</vt:lpstr>
      <vt:lpstr>'KK+1'!KOslave</vt:lpstr>
      <vt:lpstr>'KL+1'!KOslave</vt:lpstr>
      <vt:lpstr>'KO+1'!KOslave</vt:lpstr>
      <vt:lpstr>'MU+1'!KOslave</vt:lpstr>
      <vt:lpstr>MUmaster</vt:lpstr>
      <vt:lpstr>'CH+1'!MUslave</vt:lpstr>
      <vt:lpstr>'FF+1'!MUslave</vt:lpstr>
      <vt:lpstr>'GE+1'!MUslave</vt:lpstr>
      <vt:lpstr>'IN+1'!MUslave</vt:lpstr>
      <vt:lpstr>'KK+1'!MUslave</vt:lpstr>
      <vt:lpstr>'KL+1'!MUslave</vt:lpstr>
      <vt:lpstr>'KO+1'!MUslave</vt:lpstr>
      <vt:lpstr>'MU+1'!MUslave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Johann</cp:lastModifiedBy>
  <dcterms:created xsi:type="dcterms:W3CDTF">2015-12-23T11:54:42Z</dcterms:created>
  <dcterms:modified xsi:type="dcterms:W3CDTF">2015-12-26T22:14:31Z</dcterms:modified>
</cp:coreProperties>
</file>